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60" windowWidth="20400" windowHeight="8010" activeTab="0"/>
  </bookViews>
  <sheets>
    <sheet name="Bordro" sheetId="1" r:id="rId1"/>
    <sheet name="İstisna" sheetId="2" r:id="rId2"/>
    <sheet name="Asg Geç İnd" sheetId="3" r:id="rId3"/>
    <sheet name="Vergi" sheetId="4" r:id="rId4"/>
    <sheet name="Değerler Tablosu" sheetId="5" r:id="rId5"/>
  </sheets>
  <definedNames>
    <definedName name="_xlnm.Print_Area" localSheetId="2">'Asg Geç İnd'!$A$1:$Z$15</definedName>
    <definedName name="_xlnm.Print_Area" localSheetId="0">'Bordro'!$I$14:$T$42</definedName>
    <definedName name="_xlnm.Print_Area" localSheetId="4">'Değerler Tablosu'!$B$2:$F$13</definedName>
    <definedName name="_xlnm.Print_Area" localSheetId="3">'Vergi'!$A$1:$G$40</definedName>
  </definedNames>
  <calcPr fullCalcOnLoad="1"/>
</workbook>
</file>

<file path=xl/comments1.xml><?xml version="1.0" encoding="utf-8"?>
<comments xmlns="http://schemas.openxmlformats.org/spreadsheetml/2006/main">
  <authors>
    <author>hp</author>
    <author>Windows Kullanıcısı</author>
  </authors>
  <commentList>
    <comment ref="F19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Değerler Tablosundan Değiştirebilirsiniz</t>
        </r>
      </text>
    </comment>
    <comment ref="F39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Sabit</t>
        </r>
      </text>
    </comment>
    <comment ref="F38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Değişgen</t>
        </r>
      </text>
    </comment>
    <comment ref="D39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Sabit</t>
        </r>
      </text>
    </comment>
    <comment ref="D4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Sabit</t>
        </r>
      </text>
    </comment>
    <comment ref="D4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Sabit</t>
        </r>
      </text>
    </comment>
    <comment ref="D42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Sabit</t>
        </r>
      </text>
    </comment>
    <comment ref="D4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Sabit</t>
        </r>
      </text>
    </comment>
    <comment ref="D4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Sabit</t>
        </r>
      </text>
    </comment>
    <comment ref="D45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Sabit</t>
        </r>
      </text>
    </comment>
    <comment ref="D30" authorId="1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Asgari Geçim İndirimi İÇİN</t>
        </r>
      </text>
    </comment>
    <comment ref="D31" authorId="1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Çocuk Yardımı İçin
</t>
        </r>
      </text>
    </comment>
    <comment ref="F37" authorId="1">
      <text>
        <r>
          <rPr>
            <b/>
            <sz val="9"/>
            <rFont val="Tahoma"/>
            <family val="2"/>
          </rPr>
          <t>Bayram Yardımı</t>
        </r>
        <r>
          <rPr>
            <sz val="9"/>
            <rFont val="Tahoma"/>
            <family val="2"/>
          </rPr>
          <t xml:space="preserve">
Sadece Ramazan ve Kurban Bayramlarında</t>
        </r>
      </text>
    </comment>
    <comment ref="F20" authorId="1">
      <text>
        <r>
          <rPr>
            <sz val="9"/>
            <rFont val="Tahoma"/>
            <family val="2"/>
          </rPr>
          <t xml:space="preserve">Günlük Ücertinizi Giriniz
</t>
        </r>
      </text>
    </comment>
    <comment ref="F23" authorId="1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ilk 2 Günü İşveren Tarafından Ödenenir</t>
        </r>
      </text>
    </comment>
    <comment ref="F4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Sabit</t>
        </r>
      </text>
    </comment>
    <comment ref="F4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Sabit</t>
        </r>
      </text>
    </comment>
    <comment ref="F42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Sabit</t>
        </r>
      </text>
    </comment>
    <comment ref="F4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Sabit</t>
        </r>
      </text>
    </comment>
    <comment ref="F4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Sabit</t>
        </r>
      </text>
    </comment>
    <comment ref="F45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Sabit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V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23 Nisan 2015 Tarih ve 29335 Say R.g 6645 Sayılı Knaunla 3.Çocuk 10 Puan Oldu</t>
        </r>
      </text>
    </comment>
  </commentList>
</comments>
</file>

<file path=xl/comments5.xml><?xml version="1.0" encoding="utf-8"?>
<comments xmlns="http://schemas.openxmlformats.org/spreadsheetml/2006/main">
  <authors>
    <author>hp</author>
    <author>Windows Kullanıcısı</author>
  </authors>
  <commentList>
    <comment ref="J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Sabit</t>
        </r>
      </text>
    </comment>
    <comment ref="J12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Sabit</t>
        </r>
      </text>
    </comment>
    <comment ref="J1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Sabit</t>
        </r>
      </text>
    </comment>
    <comment ref="J15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İş ve işyerine Göre Değişir</t>
        </r>
      </text>
    </comment>
    <comment ref="I5" authorId="1">
      <text>
        <r>
          <rPr>
            <b/>
            <sz val="9"/>
            <rFont val="Tahoma"/>
            <family val="2"/>
          </rPr>
          <t>Yol Parası 
6,55 Olanlar</t>
        </r>
        <r>
          <rPr>
            <sz val="9"/>
            <rFont val="Tahoma"/>
            <family val="2"/>
          </rPr>
          <t xml:space="preserve">
5,10 Olanlar</t>
        </r>
      </text>
    </comment>
    <comment ref="I4" authorId="1">
      <text>
        <r>
          <rPr>
            <b/>
            <sz val="9"/>
            <rFont val="Tahoma"/>
            <family val="2"/>
          </rPr>
          <t>Toplu Sözlşemye Göre</t>
        </r>
        <r>
          <rPr>
            <sz val="9"/>
            <rFont val="Tahoma"/>
            <family val="2"/>
          </rPr>
          <t xml:space="preserve">
Standart 5,00 TL</t>
        </r>
      </text>
    </comment>
  </commentList>
</comments>
</file>

<file path=xl/sharedStrings.xml><?xml version="1.0" encoding="utf-8"?>
<sst xmlns="http://schemas.openxmlformats.org/spreadsheetml/2006/main" count="173" uniqueCount="82">
  <si>
    <t xml:space="preserve">Adı Soyadı </t>
  </si>
  <si>
    <t>:</t>
  </si>
  <si>
    <t>Dönem</t>
  </si>
  <si>
    <t>Yıl</t>
  </si>
  <si>
    <t>Medeni Hali</t>
  </si>
  <si>
    <t>Bekar</t>
  </si>
  <si>
    <t>İşs.Sig.Şahıs %</t>
  </si>
  <si>
    <t>İşs.Sig.İşveren %</t>
  </si>
  <si>
    <t>Hakedişler Toplamı</t>
  </si>
  <si>
    <t>Kesintiler Toplamı</t>
  </si>
  <si>
    <t>Net Ele Geçen</t>
  </si>
  <si>
    <t>Asgari Geç İnd.</t>
  </si>
  <si>
    <t>NET Ödenen</t>
  </si>
  <si>
    <t>Sıra No</t>
  </si>
  <si>
    <t>Adı Soyadı</t>
  </si>
  <si>
    <t>Eşi Çalışıyormu</t>
  </si>
  <si>
    <t>Çocuk Sayısı</t>
  </si>
  <si>
    <t>İlgili  Döneme Ait Maaşındaki Vergi Matrahı</t>
  </si>
  <si>
    <t>Sakatlık İndirimi (Varsa)</t>
  </si>
  <si>
    <t>GELİR VERGİSİNE TABİ GELİRİ</t>
  </si>
  <si>
    <t>İlgili Dönemde Kendisinden Kesilen  Gelir Vergisi tutarı</t>
  </si>
  <si>
    <t>16 Yaşından Büyükler İçin Asgari Ücret (Günlük)</t>
  </si>
  <si>
    <t>16 Yaşından Büyükler İçin Asgari Ücret (Yıllık)</t>
  </si>
  <si>
    <t>Asgari Geçim İndirimine Esas Tutar</t>
  </si>
  <si>
    <t>Asgari Geçim İndiriminin Yıllık Tutarı</t>
  </si>
  <si>
    <t>Hesaplanan Yıllık Tutarın 1/12 si</t>
  </si>
  <si>
    <t>İlgili Dönemde Mükellefin (Çalışanın) Ödeyeceği Vergi Tutarı</t>
  </si>
  <si>
    <t>Çalışan Personel İçin</t>
  </si>
  <si>
    <t>Eşi İçin</t>
  </si>
  <si>
    <t>1.Çocuk</t>
  </si>
  <si>
    <t>2.Çocuk</t>
  </si>
  <si>
    <t>3.Çocuk</t>
  </si>
  <si>
    <t>4.Çocuk</t>
  </si>
  <si>
    <t>TOPLAM İnd.Oranı</t>
  </si>
  <si>
    <t>Ödenecek İndirim Tutarı</t>
  </si>
  <si>
    <t>Evli Eşi Çalışıyor</t>
  </si>
  <si>
    <t>Evli Eşi Çalışmıyor</t>
  </si>
  <si>
    <t>Evli Eşi Emekli V.İnd Yararlanıyor</t>
  </si>
  <si>
    <t>Cari Dönem</t>
  </si>
  <si>
    <t>1.Dilim</t>
  </si>
  <si>
    <t>2.Dilim</t>
  </si>
  <si>
    <t>3:dilim</t>
  </si>
  <si>
    <t>D.V.Oranı</t>
  </si>
  <si>
    <t>Sendka Aidat Oranı</t>
  </si>
  <si>
    <t>Uygulanacak Oran</t>
  </si>
  <si>
    <t>Vergi Oranı1</t>
  </si>
  <si>
    <t>Vergi Oranı2</t>
  </si>
  <si>
    <t>Vergi Oranı3</t>
  </si>
  <si>
    <t>En Büyük Oran</t>
  </si>
  <si>
    <t>Asgari Ücret (Günlük) Ödeme İçin</t>
  </si>
  <si>
    <t>Asgari Ücret (Günlük) As.Geç.İnd. İçin</t>
  </si>
  <si>
    <t>Kurum Adı</t>
  </si>
  <si>
    <t>Yemek Bedeli Günlük</t>
  </si>
  <si>
    <t>Yol Bedeli Günlük</t>
  </si>
  <si>
    <t>Yemek  İstisna Tutarı</t>
  </si>
  <si>
    <t>Evet</t>
  </si>
  <si>
    <t>İş Kazası.Sig.İşveren %</t>
  </si>
  <si>
    <t>Mal.Yaşl. Ölüm Siğ Sahıs %</t>
  </si>
  <si>
    <t>Mal.Yaşl. Ölüm Siğ İşv. %</t>
  </si>
  <si>
    <t>Sağlık Siğ İşveren %</t>
  </si>
  <si>
    <t>Sağlık Siğ Şahıs %</t>
  </si>
  <si>
    <t>Bayram Yardımı</t>
  </si>
  <si>
    <t>Dul</t>
  </si>
  <si>
    <t>Bes Oranı %</t>
  </si>
  <si>
    <t xml:space="preserve">Hakedişler </t>
  </si>
  <si>
    <t xml:space="preserve">Kesintiler </t>
  </si>
  <si>
    <t>Bu Alana "BİLGİLERİNİZİ GİRİNİZ"</t>
  </si>
  <si>
    <t>TL</t>
  </si>
  <si>
    <t>Çocuk Yardımı (Aylık)</t>
  </si>
  <si>
    <t>Yakacak Yardımı (Aylık)</t>
  </si>
  <si>
    <t>Direksiyon Primi (Günlük)</t>
  </si>
  <si>
    <t>Çocuk  Sayısı</t>
  </si>
  <si>
    <t>İstisna Çocuk Sayısı</t>
  </si>
  <si>
    <t>Yardım Alacak Çocuk Sayısı</t>
  </si>
  <si>
    <t>Katsayı</t>
  </si>
  <si>
    <t>Ödenen Çocuk Parası</t>
  </si>
  <si>
    <t>İstisnaya Tabi Çocuk Parası</t>
  </si>
  <si>
    <t>İstisnaya Tabi olmayan Çocuk Parası</t>
  </si>
  <si>
    <t>İstisna Dışı Çocuk Parası</t>
  </si>
  <si>
    <t>Herbir Çocuk İçin Çocuk Parası Tutarı</t>
  </si>
  <si>
    <t>Prime Esas Kazanç Çocuk</t>
  </si>
  <si>
    <r>
      <t xml:space="preserve">Soru ve Sorunlarınız için 
</t>
    </r>
    <r>
      <rPr>
        <u val="single"/>
        <sz val="11"/>
        <color indexed="30"/>
        <rFont val="Calibri"/>
        <family val="2"/>
      </rPr>
      <t xml:space="preserve">Mustafa İŞBİLİR 0 542 768 68 25
</t>
    </r>
    <r>
      <rPr>
        <sz val="11"/>
        <color indexed="30"/>
        <rFont val="Calibri"/>
        <family val="2"/>
      </rPr>
      <t>Afyon Kocatepe Ünv./İdari Ve Mali İşler / Şube Müdürü  /  Mart 2020</t>
    </r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</si>
</sst>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0"/>
      <color indexed="12"/>
      <name val="Courier"/>
      <family val="1"/>
    </font>
    <font>
      <sz val="10"/>
      <name val="Arial Tur"/>
      <family val="0"/>
    </font>
    <font>
      <sz val="12"/>
      <name val="Arial Tur"/>
      <family val="0"/>
    </font>
    <font>
      <sz val="10"/>
      <color indexed="10"/>
      <name val="Arial Tur"/>
      <family val="0"/>
    </font>
    <font>
      <sz val="8"/>
      <name val="Arial Tur"/>
      <family val="0"/>
    </font>
    <font>
      <b/>
      <sz val="10"/>
      <name val="Arial"/>
      <family val="2"/>
    </font>
    <font>
      <b/>
      <sz val="10"/>
      <name val="Arial Tur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10"/>
      <color indexed="21"/>
      <name val="Arial Tur"/>
      <family val="0"/>
    </font>
    <font>
      <sz val="14"/>
      <name val="Times New Roman"/>
      <family val="1"/>
    </font>
    <font>
      <b/>
      <u val="single"/>
      <sz val="10"/>
      <color indexed="12"/>
      <name val="Arial Tur"/>
      <family val="0"/>
    </font>
    <font>
      <b/>
      <u val="single"/>
      <sz val="10"/>
      <color indexed="10"/>
      <name val="Arial Tur"/>
      <family val="0"/>
    </font>
    <font>
      <sz val="10"/>
      <name val="Arial"/>
      <family val="2"/>
    </font>
    <font>
      <sz val="8"/>
      <name val="Comic Sans MS"/>
      <family val="4"/>
    </font>
    <font>
      <sz val="9"/>
      <color indexed="62"/>
      <name val="Arial"/>
      <family val="2"/>
    </font>
    <font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b/>
      <sz val="9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Consolas"/>
      <family val="3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10"/>
      <color indexed="8"/>
      <name val="Calibri"/>
      <family val="2"/>
    </font>
    <font>
      <b/>
      <u val="single"/>
      <sz val="14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30"/>
      <name val="Calibri"/>
      <family val="2"/>
    </font>
    <font>
      <sz val="11"/>
      <color indexed="40"/>
      <name val="Calibri"/>
      <family val="2"/>
    </font>
    <font>
      <b/>
      <sz val="11"/>
      <color indexed="30"/>
      <name val="Calibri"/>
      <family val="2"/>
    </font>
    <font>
      <sz val="16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Consolas"/>
      <family val="3"/>
    </font>
    <font>
      <b/>
      <u val="single"/>
      <sz val="11"/>
      <color theme="1"/>
      <name val="Calibri"/>
      <family val="2"/>
    </font>
    <font>
      <b/>
      <u val="single"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rgb="FF0070C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b/>
      <sz val="10"/>
      <color theme="1"/>
      <name val="Calibri"/>
      <family val="2"/>
    </font>
    <font>
      <b/>
      <u val="single"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sz val="12"/>
      <color rgb="FF0070C0"/>
      <name val="Calibri"/>
      <family val="2"/>
    </font>
    <font>
      <sz val="11"/>
      <color rgb="FF00B0F0"/>
      <name val="Calibri"/>
      <family val="2"/>
    </font>
    <font>
      <b/>
      <sz val="11"/>
      <color rgb="FF0070C0"/>
      <name val="Calibri"/>
      <family val="2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Arial Tur"/>
      <family val="0"/>
    </font>
    <font>
      <sz val="12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/>
      <right/>
      <top/>
      <bottom style="double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6" fillId="20" borderId="5" applyNumberFormat="0" applyAlignment="0" applyProtection="0"/>
    <xf numFmtId="0" fontId="67" fillId="21" borderId="6" applyNumberFormat="0" applyAlignment="0" applyProtection="0"/>
    <xf numFmtId="0" fontId="68" fillId="20" borderId="6" applyNumberFormat="0" applyAlignment="0" applyProtection="0"/>
    <xf numFmtId="0" fontId="69" fillId="22" borderId="7" applyNumberFormat="0" applyAlignment="0" applyProtection="0"/>
    <xf numFmtId="0" fontId="70" fillId="23" borderId="0" applyNumberFormat="0" applyBorder="0" applyAlignment="0" applyProtection="0"/>
    <xf numFmtId="0" fontId="71" fillId="24" borderId="0" applyNumberFormat="0" applyBorder="0" applyAlignment="0" applyProtection="0"/>
    <xf numFmtId="0" fontId="0" fillId="25" borderId="8" applyNumberFormat="0" applyFont="0" applyAlignment="0" applyProtection="0"/>
    <xf numFmtId="0" fontId="7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 shrinkToFi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shrinkToFit="1"/>
      <protection hidden="1"/>
    </xf>
    <xf numFmtId="0" fontId="3" fillId="0" borderId="10" xfId="0" applyFont="1" applyBorder="1" applyAlignment="1" applyProtection="1">
      <alignment wrapText="1" shrinkToFit="1"/>
      <protection hidden="1"/>
    </xf>
    <xf numFmtId="4" fontId="8" fillId="0" borderId="10" xfId="0" applyNumberFormat="1" applyFont="1" applyBorder="1" applyAlignment="1" applyProtection="1">
      <alignment/>
      <protection hidden="1"/>
    </xf>
    <xf numFmtId="4" fontId="0" fillId="0" borderId="10" xfId="0" applyNumberFormat="1" applyBorder="1" applyAlignment="1" applyProtection="1">
      <alignment/>
      <protection hidden="1"/>
    </xf>
    <xf numFmtId="4" fontId="5" fillId="0" borderId="10" xfId="0" applyNumberFormat="1" applyFont="1" applyBorder="1" applyAlignment="1" applyProtection="1">
      <alignment/>
      <protection hidden="1"/>
    </xf>
    <xf numFmtId="4" fontId="5" fillId="0" borderId="1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38" fillId="34" borderId="10" xfId="0" applyFont="1" applyFill="1" applyBorder="1" applyAlignment="1" applyProtection="1">
      <alignment wrapText="1"/>
      <protection hidden="1"/>
    </xf>
    <xf numFmtId="0" fontId="38" fillId="34" borderId="0" xfId="0" applyFont="1" applyFill="1" applyAlignment="1" applyProtection="1">
      <alignment horizontal="center"/>
      <protection hidden="1"/>
    </xf>
    <xf numFmtId="0" fontId="38" fillId="34" borderId="0" xfId="0" applyFont="1" applyFill="1" applyBorder="1" applyAlignment="1" applyProtection="1">
      <alignment wrapText="1"/>
      <protection hidden="1"/>
    </xf>
    <xf numFmtId="0" fontId="38" fillId="0" borderId="10" xfId="0" applyFont="1" applyBorder="1" applyAlignment="1" applyProtection="1">
      <alignment horizontal="center"/>
      <protection hidden="1" locked="0"/>
    </xf>
    <xf numFmtId="4" fontId="3" fillId="34" borderId="10" xfId="0" applyNumberFormat="1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3" fillId="0" borderId="10" xfId="0" applyNumberFormat="1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4" fontId="4" fillId="0" borderId="10" xfId="0" applyNumberFormat="1" applyFont="1" applyBorder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5" fillId="0" borderId="10" xfId="0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6" fillId="35" borderId="10" xfId="0" applyFont="1" applyFill="1" applyBorder="1" applyAlignment="1" applyProtection="1">
      <alignment wrapText="1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 horizontal="center"/>
      <protection hidden="1"/>
    </xf>
    <xf numFmtId="4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1" fontId="15" fillId="0" borderId="0" xfId="0" applyNumberFormat="1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6" fillId="0" borderId="0" xfId="0" applyFont="1" applyAlignment="1" applyProtection="1">
      <alignment horizontal="center"/>
      <protection hidden="1"/>
    </xf>
    <xf numFmtId="0" fontId="74" fillId="0" borderId="0" xfId="0" applyFont="1" applyAlignment="1" applyProtection="1">
      <alignment/>
      <protection hidden="1"/>
    </xf>
    <xf numFmtId="9" fontId="12" fillId="0" borderId="0" xfId="0" applyNumberFormat="1" applyFont="1" applyAlignment="1" applyProtection="1">
      <alignment horizontal="justify"/>
      <protection hidden="1"/>
    </xf>
    <xf numFmtId="0" fontId="0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4" fontId="0" fillId="0" borderId="0" xfId="0" applyNumberFormat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77" fillId="0" borderId="0" xfId="0" applyFont="1" applyAlignment="1" applyProtection="1">
      <alignment/>
      <protection hidden="1"/>
    </xf>
    <xf numFmtId="0" fontId="73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 vertical="center"/>
      <protection hidden="1"/>
    </xf>
    <xf numFmtId="0" fontId="73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4" fontId="0" fillId="0" borderId="0" xfId="0" applyNumberFormat="1" applyBorder="1" applyAlignment="1" applyProtection="1">
      <alignment vertical="center"/>
      <protection hidden="1"/>
    </xf>
    <xf numFmtId="0" fontId="74" fillId="0" borderId="11" xfId="0" applyFont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78" fillId="0" borderId="11" xfId="0" applyFont="1" applyBorder="1" applyAlignment="1" applyProtection="1">
      <alignment vertical="center"/>
      <protection hidden="1"/>
    </xf>
    <xf numFmtId="0" fontId="79" fillId="0" borderId="11" xfId="0" applyFont="1" applyBorder="1" applyAlignment="1" applyProtection="1">
      <alignment vertical="center"/>
      <protection hidden="1"/>
    </xf>
    <xf numFmtId="4" fontId="79" fillId="0" borderId="11" xfId="0" applyNumberFormat="1" applyFont="1" applyBorder="1" applyAlignment="1" applyProtection="1">
      <alignment vertical="center"/>
      <protection hidden="1"/>
    </xf>
    <xf numFmtId="4" fontId="78" fillId="0" borderId="11" xfId="0" applyNumberFormat="1" applyFont="1" applyBorder="1" applyAlignment="1" applyProtection="1">
      <alignment vertical="center"/>
      <protection hidden="1"/>
    </xf>
    <xf numFmtId="0" fontId="80" fillId="0" borderId="0" xfId="0" applyFont="1" applyAlignment="1" applyProtection="1">
      <alignment horizontal="right"/>
      <protection hidden="1"/>
    </xf>
    <xf numFmtId="0" fontId="79" fillId="0" borderId="0" xfId="0" applyFont="1" applyAlignment="1" applyProtection="1">
      <alignment/>
      <protection hidden="1"/>
    </xf>
    <xf numFmtId="0" fontId="78" fillId="0" borderId="0" xfId="0" applyFont="1" applyAlignment="1" applyProtection="1">
      <alignment/>
      <protection hidden="1"/>
    </xf>
    <xf numFmtId="0" fontId="81" fillId="0" borderId="0" xfId="0" applyFont="1" applyAlignment="1" applyProtection="1">
      <alignment/>
      <protection hidden="1"/>
    </xf>
    <xf numFmtId="0" fontId="82" fillId="0" borderId="0" xfId="0" applyFont="1" applyAlignment="1" applyProtection="1">
      <alignment vertical="center" wrapText="1"/>
      <protection hidden="1"/>
    </xf>
    <xf numFmtId="4" fontId="0" fillId="0" borderId="10" xfId="0" applyNumberFormat="1" applyBorder="1" applyAlignment="1" applyProtection="1">
      <alignment/>
      <protection hidden="1" locked="0"/>
    </xf>
    <xf numFmtId="4" fontId="74" fillId="0" borderId="13" xfId="0" applyNumberFormat="1" applyFont="1" applyBorder="1" applyAlignment="1" applyProtection="1">
      <alignment/>
      <protection hidden="1"/>
    </xf>
    <xf numFmtId="0" fontId="74" fillId="0" borderId="0" xfId="0" applyFont="1" applyAlignment="1" applyProtection="1">
      <alignment wrapText="1" shrinkToFit="1"/>
      <protection hidden="1"/>
    </xf>
    <xf numFmtId="0" fontId="78" fillId="0" borderId="0" xfId="0" applyFont="1" applyBorder="1" applyAlignment="1" applyProtection="1">
      <alignment vertical="center"/>
      <protection hidden="1"/>
    </xf>
    <xf numFmtId="0" fontId="79" fillId="0" borderId="0" xfId="0" applyFont="1" applyBorder="1" applyAlignment="1" applyProtection="1">
      <alignment vertical="center"/>
      <protection hidden="1"/>
    </xf>
    <xf numFmtId="4" fontId="83" fillId="0" borderId="0" xfId="0" applyNumberFormat="1" applyFont="1" applyAlignment="1" applyProtection="1">
      <alignment/>
      <protection hidden="1"/>
    </xf>
    <xf numFmtId="4" fontId="84" fillId="0" borderId="0" xfId="0" applyNumberFormat="1" applyFont="1" applyAlignment="1" applyProtection="1">
      <alignment/>
      <protection hidden="1"/>
    </xf>
    <xf numFmtId="4" fontId="85" fillId="0" borderId="0" xfId="0" applyNumberFormat="1" applyFont="1" applyAlignment="1" applyProtection="1">
      <alignment/>
      <protection hidden="1"/>
    </xf>
    <xf numFmtId="0" fontId="86" fillId="0" borderId="11" xfId="0" applyFont="1" applyBorder="1" applyAlignment="1" applyProtection="1">
      <alignment vertical="center" wrapText="1"/>
      <protection hidden="1"/>
    </xf>
    <xf numFmtId="0" fontId="74" fillId="0" borderId="0" xfId="0" applyFont="1" applyAlignment="1" applyProtection="1">
      <alignment vertical="center"/>
      <protection hidden="1"/>
    </xf>
    <xf numFmtId="0" fontId="87" fillId="0" borderId="0" xfId="0" applyFont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50" fillId="34" borderId="11" xfId="0" applyFont="1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88" fillId="34" borderId="11" xfId="0" applyFont="1" applyFill="1" applyBorder="1" applyAlignment="1" applyProtection="1">
      <alignment horizontal="center"/>
      <protection hidden="1" locked="0"/>
    </xf>
    <xf numFmtId="4" fontId="89" fillId="34" borderId="11" xfId="0" applyNumberFormat="1" applyFont="1" applyFill="1" applyBorder="1" applyAlignment="1" applyProtection="1">
      <alignment horizontal="center"/>
      <protection hidden="1"/>
    </xf>
    <xf numFmtId="4" fontId="88" fillId="34" borderId="11" xfId="0" applyNumberFormat="1" applyFont="1" applyFill="1" applyBorder="1" applyAlignment="1" applyProtection="1">
      <alignment horizontal="center"/>
      <protection hidden="1" locked="0"/>
    </xf>
    <xf numFmtId="1" fontId="88" fillId="34" borderId="11" xfId="0" applyNumberFormat="1" applyFont="1" applyFill="1" applyBorder="1" applyAlignment="1" applyProtection="1">
      <alignment horizontal="center"/>
      <protection hidden="1" locked="0"/>
    </xf>
    <xf numFmtId="0" fontId="0" fillId="34" borderId="0" xfId="0" applyFill="1" applyBorder="1" applyAlignment="1" applyProtection="1">
      <alignment/>
      <protection hidden="1"/>
    </xf>
    <xf numFmtId="1" fontId="90" fillId="34" borderId="11" xfId="0" applyNumberFormat="1" applyFont="1" applyFill="1" applyBorder="1" applyAlignment="1" applyProtection="1">
      <alignment horizontal="center"/>
      <protection hidden="1"/>
    </xf>
    <xf numFmtId="0" fontId="88" fillId="34" borderId="11" xfId="0" applyFont="1" applyFill="1" applyBorder="1" applyAlignment="1" applyProtection="1">
      <alignment horizontal="center" wrapText="1"/>
      <protection hidden="1" locked="0"/>
    </xf>
    <xf numFmtId="0" fontId="50" fillId="34" borderId="11" xfId="0" applyFont="1" applyFill="1" applyBorder="1" applyAlignment="1" applyProtection="1">
      <alignment horizontal="left" vertical="top" wrapText="1"/>
      <protection hidden="1"/>
    </xf>
    <xf numFmtId="0" fontId="50" fillId="34" borderId="11" xfId="0" applyFont="1" applyFill="1" applyBorder="1" applyAlignment="1" applyProtection="1">
      <alignment horizontal="left" vertical="center" wrapText="1"/>
      <protection hidden="1"/>
    </xf>
    <xf numFmtId="0" fontId="91" fillId="34" borderId="11" xfId="0" applyFont="1" applyFill="1" applyBorder="1" applyAlignment="1" applyProtection="1">
      <alignment vertical="center"/>
      <protection hidden="1"/>
    </xf>
    <xf numFmtId="0" fontId="89" fillId="34" borderId="11" xfId="0" applyFont="1" applyFill="1" applyBorder="1" applyAlignment="1" applyProtection="1">
      <alignment horizontal="center" vertical="center"/>
      <protection hidden="1"/>
    </xf>
    <xf numFmtId="0" fontId="91" fillId="34" borderId="11" xfId="0" applyFont="1" applyFill="1" applyBorder="1" applyAlignment="1" applyProtection="1">
      <alignment/>
      <protection hidden="1"/>
    </xf>
    <xf numFmtId="0" fontId="89" fillId="34" borderId="11" xfId="0" applyFont="1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vertical="center"/>
      <protection hidden="1"/>
    </xf>
    <xf numFmtId="0" fontId="88" fillId="34" borderId="11" xfId="0" applyFont="1" applyFill="1" applyBorder="1" applyAlignment="1" applyProtection="1">
      <alignment horizontal="center" vertical="center"/>
      <protection hidden="1" locked="0"/>
    </xf>
    <xf numFmtId="0" fontId="50" fillId="34" borderId="11" xfId="0" applyFont="1" applyFill="1" applyBorder="1" applyAlignment="1" applyProtection="1">
      <alignment horizontal="left"/>
      <protection hidden="1"/>
    </xf>
    <xf numFmtId="0" fontId="92" fillId="34" borderId="11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/>
      <protection hidden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93" fillId="36" borderId="0" xfId="0" applyNumberFormat="1" applyFont="1" applyFill="1" applyAlignment="1">
      <alignment wrapText="1"/>
    </xf>
    <xf numFmtId="4" fontId="20" fillId="0" borderId="14" xfId="0" applyNumberFormat="1" applyFont="1" applyBorder="1" applyAlignment="1">
      <alignment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wrapText="1"/>
    </xf>
    <xf numFmtId="4" fontId="15" fillId="0" borderId="10" xfId="0" applyNumberFormat="1" applyFont="1" applyBorder="1" applyAlignment="1">
      <alignment wrapText="1"/>
    </xf>
    <xf numFmtId="4" fontId="94" fillId="0" borderId="1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82" fillId="0" borderId="0" xfId="0" applyFont="1" applyAlignment="1" applyProtection="1">
      <alignment horizontal="center" vertical="center" wrapText="1"/>
      <protection hidden="1"/>
    </xf>
    <xf numFmtId="0" fontId="0" fillId="36" borderId="15" xfId="0" applyFill="1" applyBorder="1" applyAlignment="1" applyProtection="1">
      <alignment horizontal="center"/>
      <protection hidden="1"/>
    </xf>
    <xf numFmtId="0" fontId="95" fillId="34" borderId="16" xfId="0" applyFont="1" applyFill="1" applyBorder="1" applyAlignment="1" applyProtection="1">
      <alignment horizontal="center" wrapText="1"/>
      <protection hidden="1"/>
    </xf>
    <xf numFmtId="0" fontId="95" fillId="34" borderId="0" xfId="0" applyFont="1" applyFill="1" applyAlignment="1" applyProtection="1">
      <alignment horizontal="center" wrapText="1"/>
      <protection hidden="1"/>
    </xf>
    <xf numFmtId="0" fontId="3" fillId="0" borderId="17" xfId="0" applyFont="1" applyBorder="1" applyAlignment="1" applyProtection="1">
      <alignment horizontal="center" wrapText="1"/>
      <protection hidden="1"/>
    </xf>
    <xf numFmtId="0" fontId="0" fillId="33" borderId="0" xfId="0" applyFill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96" fillId="34" borderId="10" xfId="0" applyFont="1" applyFill="1" applyBorder="1" applyAlignment="1" applyProtection="1">
      <alignment horizontal="center"/>
      <protection hidden="1"/>
    </xf>
    <xf numFmtId="0" fontId="97" fillId="0" borderId="18" xfId="0" applyFont="1" applyBorder="1" applyAlignment="1" applyProtection="1">
      <alignment horizontal="center"/>
      <protection hidden="1"/>
    </xf>
    <xf numFmtId="0" fontId="97" fillId="0" borderId="13" xfId="0" applyFont="1" applyBorder="1" applyAlignment="1" applyProtection="1">
      <alignment horizontal="center"/>
      <protection hidden="1"/>
    </xf>
    <xf numFmtId="0" fontId="38" fillId="6" borderId="10" xfId="0" applyFont="1" applyFill="1" applyBorder="1" applyAlignment="1" applyProtection="1">
      <alignment horizont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00B0F0"/>
  </sheetPr>
  <dimension ref="B2:T51"/>
  <sheetViews>
    <sheetView showGridLines="0" showZeros="0" tabSelected="1" workbookViewId="0" topLeftCell="C13">
      <selection activeCell="D14" sqref="D14:F14"/>
    </sheetView>
  </sheetViews>
  <sheetFormatPr defaultColWidth="9.140625" defaultRowHeight="15"/>
  <cols>
    <col min="1" max="1" width="2.28125" style="32" customWidth="1"/>
    <col min="2" max="2" width="3.140625" style="32" customWidth="1"/>
    <col min="3" max="3" width="2.00390625" style="32" customWidth="1"/>
    <col min="4" max="4" width="27.421875" style="32" customWidth="1"/>
    <col min="5" max="5" width="2.00390625" style="32" bestFit="1" customWidth="1"/>
    <col min="6" max="6" width="21.421875" style="32" customWidth="1"/>
    <col min="7" max="7" width="4.00390625" style="32" customWidth="1"/>
    <col min="8" max="8" width="16.7109375" style="32" customWidth="1"/>
    <col min="9" max="9" width="1.57421875" style="32" bestFit="1" customWidth="1"/>
    <col min="10" max="10" width="2.57421875" style="32" customWidth="1"/>
    <col min="11" max="11" width="3.00390625" style="32" customWidth="1"/>
    <col min="12" max="12" width="1.8515625" style="32" customWidth="1"/>
    <col min="13" max="13" width="33.140625" style="32" bestFit="1" customWidth="1"/>
    <col min="14" max="14" width="1.57421875" style="32" bestFit="1" customWidth="1"/>
    <col min="15" max="15" width="17.28125" style="32" customWidth="1"/>
    <col min="16" max="16" width="5.8515625" style="32" customWidth="1"/>
    <col min="17" max="17" width="29.00390625" style="32" bestFit="1" customWidth="1"/>
    <col min="18" max="18" width="1.57421875" style="32" bestFit="1" customWidth="1"/>
    <col min="19" max="19" width="16.7109375" style="32" customWidth="1"/>
    <col min="20" max="16384" width="9.140625" style="32" customWidth="1"/>
  </cols>
  <sheetData>
    <row r="1" ht="15" hidden="1"/>
    <row r="2" spans="6:8" ht="15.75" hidden="1">
      <c r="F2" s="16" t="s">
        <v>35</v>
      </c>
      <c r="G2" s="17">
        <v>1</v>
      </c>
      <c r="H2" s="32" t="s">
        <v>55</v>
      </c>
    </row>
    <row r="3" spans="6:7" ht="15.75" hidden="1">
      <c r="F3" s="16" t="s">
        <v>36</v>
      </c>
      <c r="G3" s="17">
        <v>2</v>
      </c>
    </row>
    <row r="4" spans="6:7" ht="31.5" hidden="1">
      <c r="F4" s="16" t="s">
        <v>37</v>
      </c>
      <c r="G4" s="17">
        <v>3</v>
      </c>
    </row>
    <row r="5" spans="6:7" ht="15.75" hidden="1">
      <c r="F5" s="16" t="s">
        <v>5</v>
      </c>
      <c r="G5" s="17">
        <v>4</v>
      </c>
    </row>
    <row r="6" spans="6:7" ht="15.75" hidden="1">
      <c r="F6" s="16" t="s">
        <v>62</v>
      </c>
      <c r="G6" s="17">
        <v>5</v>
      </c>
    </row>
    <row r="7" spans="6:7" ht="15.75" hidden="1">
      <c r="F7" s="18">
        <f>IF(F37="Evet","Toplamı",IF(F27&gt;0,"Toplamı",""))</f>
      </c>
      <c r="G7" s="17"/>
    </row>
    <row r="8" spans="6:7" ht="15.75" hidden="1">
      <c r="F8" s="18"/>
      <c r="G8" s="17"/>
    </row>
    <row r="9" spans="6:7" ht="15.75" hidden="1">
      <c r="F9" s="18"/>
      <c r="G9" s="17"/>
    </row>
    <row r="10" spans="6:7" ht="15.75" hidden="1">
      <c r="F10" s="18"/>
      <c r="G10" s="17"/>
    </row>
    <row r="11" spans="6:7" ht="15.75" hidden="1">
      <c r="F11" s="18"/>
      <c r="G11" s="17"/>
    </row>
    <row r="12" ht="15" hidden="1"/>
    <row r="13" spans="2:7" ht="15">
      <c r="B13" s="87"/>
      <c r="C13" s="87"/>
      <c r="D13" s="87"/>
      <c r="E13" s="87"/>
      <c r="F13" s="87"/>
      <c r="G13" s="87"/>
    </row>
    <row r="14" spans="2:17" ht="15">
      <c r="B14" s="87"/>
      <c r="C14" s="87"/>
      <c r="D14" s="121" t="s">
        <v>66</v>
      </c>
      <c r="E14" s="121"/>
      <c r="F14" s="121"/>
      <c r="G14" s="87"/>
      <c r="M14" s="47" t="str">
        <f>+D15</f>
        <v>Adı Soyadı </v>
      </c>
      <c r="N14" s="32" t="s">
        <v>1</v>
      </c>
      <c r="O14" s="119">
        <f>+F15</f>
        <v>0</v>
      </c>
      <c r="P14" s="119"/>
      <c r="Q14" s="119"/>
    </row>
    <row r="15" spans="2:17" ht="15">
      <c r="B15" s="87"/>
      <c r="C15" s="87"/>
      <c r="D15" s="88" t="s">
        <v>0</v>
      </c>
      <c r="E15" s="89" t="s">
        <v>1</v>
      </c>
      <c r="F15" s="90"/>
      <c r="G15" s="87"/>
      <c r="M15" s="47" t="str">
        <f>+D17</f>
        <v>Kurum Adı</v>
      </c>
      <c r="N15" s="32" t="s">
        <v>1</v>
      </c>
      <c r="O15" s="119">
        <f>+F17</f>
        <v>0</v>
      </c>
      <c r="P15" s="119"/>
      <c r="Q15" s="119"/>
    </row>
    <row r="16" spans="2:17" ht="15">
      <c r="B16" s="87"/>
      <c r="C16" s="87"/>
      <c r="D16" s="88" t="s">
        <v>3</v>
      </c>
      <c r="E16" s="89" t="s">
        <v>1</v>
      </c>
      <c r="F16" s="90"/>
      <c r="G16" s="87"/>
      <c r="M16" s="47" t="str">
        <f>+D18</f>
        <v>Dönem</v>
      </c>
      <c r="N16" s="32" t="s">
        <v>1</v>
      </c>
      <c r="O16" s="119">
        <f>+F18</f>
        <v>0</v>
      </c>
      <c r="P16" s="119"/>
      <c r="Q16" s="119"/>
    </row>
    <row r="17" spans="2:15" ht="15">
      <c r="B17" s="87"/>
      <c r="C17" s="87"/>
      <c r="D17" s="88" t="s">
        <v>51</v>
      </c>
      <c r="E17" s="89" t="s">
        <v>1</v>
      </c>
      <c r="F17" s="90"/>
      <c r="G17" s="87"/>
      <c r="M17" s="47" t="str">
        <f>+D16</f>
        <v>Yıl</v>
      </c>
      <c r="N17" s="32" t="s">
        <v>1</v>
      </c>
      <c r="O17" s="118">
        <f>+F16</f>
        <v>0</v>
      </c>
    </row>
    <row r="18" spans="2:19" ht="18.75">
      <c r="B18" s="87"/>
      <c r="C18" s="87"/>
      <c r="D18" s="88" t="s">
        <v>2</v>
      </c>
      <c r="E18" s="89" t="s">
        <v>1</v>
      </c>
      <c r="F18" s="90"/>
      <c r="G18" s="87"/>
      <c r="N18" s="58"/>
      <c r="O18" s="86" t="s">
        <v>64</v>
      </c>
      <c r="R18" s="50"/>
      <c r="S18" s="86" t="s">
        <v>65</v>
      </c>
    </row>
    <row r="19" spans="2:18" ht="15">
      <c r="B19" s="87"/>
      <c r="C19" s="87"/>
      <c r="D19" s="88">
        <f>IF(F15="",0,"Asgari Ücret Günlük")</f>
        <v>0</v>
      </c>
      <c r="E19" s="89" t="s">
        <v>1</v>
      </c>
      <c r="F19" s="91">
        <f>IF(F15="",0,+'Değerler Tablosu'!E6)</f>
        <v>0</v>
      </c>
      <c r="G19" s="87"/>
      <c r="M19" s="51"/>
      <c r="N19" s="51"/>
      <c r="O19" s="51"/>
      <c r="Q19" s="49"/>
      <c r="R19" s="50"/>
    </row>
    <row r="20" spans="2:18" ht="15">
      <c r="B20" s="87"/>
      <c r="C20" s="87"/>
      <c r="D20" s="88">
        <f>IF(F15="",0,"Günlük Ücretiniz")</f>
        <v>0</v>
      </c>
      <c r="E20" s="89" t="s">
        <v>1</v>
      </c>
      <c r="F20" s="92"/>
      <c r="G20" s="87"/>
      <c r="M20" s="51"/>
      <c r="N20" s="51"/>
      <c r="O20" s="51"/>
      <c r="Q20" s="49"/>
      <c r="R20" s="50"/>
    </row>
    <row r="21" spans="2:19" ht="24" customHeight="1">
      <c r="B21" s="87"/>
      <c r="C21" s="87"/>
      <c r="D21" s="88">
        <f>IF(F15="",0,"Normal Çalışma Günü")</f>
        <v>0</v>
      </c>
      <c r="E21" s="89" t="s">
        <v>1</v>
      </c>
      <c r="F21" s="93"/>
      <c r="G21" s="87"/>
      <c r="M21" s="67">
        <f>IF(F27=0,"","Maaş")</f>
      </c>
      <c r="N21" s="68" t="s">
        <v>1</v>
      </c>
      <c r="O21" s="70">
        <f>ROUND(IF(F20="",(F20*F28),(F20*F28)),2)</f>
        <v>0</v>
      </c>
      <c r="Q21" s="67">
        <f>+M32</f>
        <v>0</v>
      </c>
      <c r="R21" s="60" t="s">
        <v>1</v>
      </c>
      <c r="S21" s="69">
        <f>+O32</f>
        <v>0</v>
      </c>
    </row>
    <row r="22" spans="2:19" ht="21.75" customHeight="1">
      <c r="B22" s="87"/>
      <c r="C22" s="87"/>
      <c r="D22" s="88">
        <f>IF(F15="",0,"Bayram Çalışma Günü")</f>
        <v>0</v>
      </c>
      <c r="E22" s="89" t="s">
        <v>1</v>
      </c>
      <c r="F22" s="93"/>
      <c r="G22" s="87"/>
      <c r="M22" s="67">
        <f>IF(F15="","",IF(F32="","","Yemek Ücreti"))</f>
      </c>
      <c r="N22" s="68" t="s">
        <v>1</v>
      </c>
      <c r="O22" s="70">
        <f>ROUND(F32*'Değerler Tablosu'!I4,2)</f>
        <v>0</v>
      </c>
      <c r="Q22" s="67">
        <f>IF(D39&lt;=0,0,CONCATENATE(+D39," ",F39))</f>
        <v>0</v>
      </c>
      <c r="R22" s="60" t="s">
        <v>1</v>
      </c>
      <c r="S22" s="69">
        <f>ROUND((O30*F39/100),2)</f>
        <v>0</v>
      </c>
    </row>
    <row r="23" spans="2:19" ht="15.75">
      <c r="B23" s="87"/>
      <c r="C23" s="87"/>
      <c r="D23" s="88">
        <f>IF(F15="",0,"Raporlu Gün")</f>
        <v>0</v>
      </c>
      <c r="E23" s="89" t="s">
        <v>1</v>
      </c>
      <c r="F23" s="93"/>
      <c r="G23" s="87"/>
      <c r="M23" s="67">
        <f>IF(F15="","",IF(F32="","","Yemek Prime Esas Kazanç"))</f>
      </c>
      <c r="N23" s="68"/>
      <c r="O23" s="70">
        <f>IF(ROUND(F32*('Değerler Tablosu'!I4-'Değerler Tablosu'!J4),2)&lt;0,0,ROUND(F32*('Değerler Tablosu'!I4-'Değerler Tablosu'!J4),2))</f>
        <v>0</v>
      </c>
      <c r="Q23" s="67">
        <f>+M31</f>
        <v>0</v>
      </c>
      <c r="R23" s="60" t="s">
        <v>1</v>
      </c>
      <c r="S23" s="69">
        <f>+O31</f>
        <v>0</v>
      </c>
    </row>
    <row r="24" spans="2:19" ht="15.75">
      <c r="B24" s="87"/>
      <c r="C24" s="87"/>
      <c r="D24" s="88">
        <f>IF(F15="",0,"Hafta Tatili Günü")</f>
        <v>0</v>
      </c>
      <c r="E24" s="89" t="s">
        <v>1</v>
      </c>
      <c r="F24" s="93"/>
      <c r="G24" s="87"/>
      <c r="M24" s="67">
        <f>IF(F15="","",IF(F33="","","Yol Ücreti"))</f>
      </c>
      <c r="N24" s="68" t="s">
        <v>1</v>
      </c>
      <c r="O24" s="70">
        <f>ROUND(F33*'Değerler Tablosu'!I5,2)</f>
        <v>0</v>
      </c>
      <c r="Q24" s="67">
        <f>+M34</f>
        <v>0</v>
      </c>
      <c r="R24" s="60" t="s">
        <v>1</v>
      </c>
      <c r="S24" s="69">
        <f>+O34</f>
        <v>0</v>
      </c>
    </row>
    <row r="25" spans="2:19" ht="18" customHeight="1">
      <c r="B25" s="87"/>
      <c r="C25" s="87"/>
      <c r="D25" s="88">
        <f>IF(F15="",0,"Resmi Tatil Günü (Bayram)")</f>
        <v>0</v>
      </c>
      <c r="E25" s="89" t="s">
        <v>1</v>
      </c>
      <c r="F25" s="93"/>
      <c r="G25" s="87"/>
      <c r="M25" s="67">
        <f>IF(F31="","",IF(F31="","","Çocuk Yardımı"))</f>
      </c>
      <c r="N25" s="68" t="s">
        <v>1</v>
      </c>
      <c r="O25" s="70">
        <f>ROUND(IF(F31="",0,IF(F31&gt;3,3*'Değerler Tablosu'!I6,Bordro!F31*'Değerler Tablosu'!I6)),2)</f>
        <v>0</v>
      </c>
      <c r="Q25" s="67">
        <f>IF(D42&lt;=0,0,CONCATENATE(+D42," ",F42))</f>
        <v>0</v>
      </c>
      <c r="R25" s="60" t="s">
        <v>1</v>
      </c>
      <c r="S25" s="69">
        <f>ROUND((O30*F42/100),2)</f>
        <v>0</v>
      </c>
    </row>
    <row r="26" spans="2:19" ht="24.75" customHeight="1">
      <c r="B26" s="87"/>
      <c r="C26" s="94"/>
      <c r="D26" s="88">
        <f>IF(F15="",0,"Ücretli İzin Günü")</f>
        <v>0</v>
      </c>
      <c r="E26" s="89" t="s">
        <v>1</v>
      </c>
      <c r="F26" s="93"/>
      <c r="M26" s="67">
        <f>IF(F35="","","Yakacak Yardımı")</f>
      </c>
      <c r="N26" s="68" t="s">
        <v>1</v>
      </c>
      <c r="O26" s="70">
        <f>IF(F35="",0,'Değerler Tablosu'!I7)</f>
        <v>0</v>
      </c>
      <c r="Q26" s="67">
        <f>+M33</f>
        <v>0</v>
      </c>
      <c r="R26" s="60" t="s">
        <v>1</v>
      </c>
      <c r="S26" s="69">
        <f>+O33</f>
        <v>0</v>
      </c>
    </row>
    <row r="27" spans="2:19" ht="29.25" customHeight="1">
      <c r="B27" s="87"/>
      <c r="C27" s="94"/>
      <c r="D27" s="88">
        <f>IF(F15="",0,"Toplam Gün")</f>
        <v>0</v>
      </c>
      <c r="E27" s="89" t="s">
        <v>1</v>
      </c>
      <c r="F27" s="95">
        <f>IF(SUM(F21:F26)&gt;31,0,SUM(F21:F26))</f>
        <v>0</v>
      </c>
      <c r="G27" s="122">
        <f>IF(SUM(F21:F26)&gt;31,"Dikkat En Fazla 31 Gün Gün Girişi Yapınız !!",0)</f>
        <v>0</v>
      </c>
      <c r="H27" s="123"/>
      <c r="M27" s="67">
        <f>IF(F37="Evet","Bayram Yardımı","")</f>
      </c>
      <c r="N27" s="68" t="s">
        <v>1</v>
      </c>
      <c r="O27" s="70">
        <f>IF(M27="",0,'Değerler Tablosu'!I8)</f>
        <v>0</v>
      </c>
      <c r="Q27" s="67">
        <f>IF(D45&lt;=0,0,CONCATENATE(D45," ",F45))</f>
        <v>0</v>
      </c>
      <c r="R27" s="60" t="s">
        <v>1</v>
      </c>
      <c r="S27" s="69">
        <f>ROUND((O30*F45/100),2)</f>
        <v>0</v>
      </c>
    </row>
    <row r="28" spans="2:19" ht="15.75">
      <c r="B28" s="87"/>
      <c r="C28" s="94"/>
      <c r="D28" s="88">
        <f>IF(F15="",0,"Toplam Ödeme Günü")</f>
        <v>0</v>
      </c>
      <c r="E28" s="89" t="s">
        <v>1</v>
      </c>
      <c r="F28" s="95">
        <f>IF(F22&gt;0,F22*2+F27,F27)</f>
        <v>0</v>
      </c>
      <c r="G28" s="87"/>
      <c r="M28" s="67">
        <f>IF(F34="Evet",D34,"")</f>
      </c>
      <c r="N28" s="68" t="s">
        <v>1</v>
      </c>
      <c r="O28" s="70">
        <f>IF(F34="",0,ROUND(F21*'Değerler Tablosu'!I9,2))</f>
        <v>0</v>
      </c>
      <c r="Q28" s="67">
        <f>IF(F36="Evet","Bireysel Emeklilik Kes",0)</f>
        <v>0</v>
      </c>
      <c r="R28" s="60" t="s">
        <v>1</v>
      </c>
      <c r="S28" s="69">
        <f>IF(F36="Evet",ROUNDDOWN((O30*'Değerler Tablosu'!J18/100),0),0)</f>
        <v>0</v>
      </c>
    </row>
    <row r="29" spans="2:19" ht="39" customHeight="1">
      <c r="B29" s="87"/>
      <c r="C29" s="94"/>
      <c r="D29" s="88">
        <f>IF(F15="",0,"Medeni Hali")</f>
        <v>0</v>
      </c>
      <c r="E29" s="89" t="s">
        <v>1</v>
      </c>
      <c r="F29" s="96"/>
      <c r="G29" s="87"/>
      <c r="M29" s="84" t="str">
        <f>CONCATENATE(M21," ",M22," ",M24," ",M25," ",M26," ",M27," ",M28," ",F7)</f>
        <v>       </v>
      </c>
      <c r="N29" s="68" t="s">
        <v>1</v>
      </c>
      <c r="O29" s="70">
        <f>IF(M29="",0,SUM(O21+O22+O24+O25+O26+O27+O28))</f>
        <v>0</v>
      </c>
      <c r="Q29" s="67">
        <f>IF(F27=0,0,"Bu Ay Gelir V.Matrahı")</f>
        <v>0</v>
      </c>
      <c r="R29" s="60" t="s">
        <v>1</v>
      </c>
      <c r="S29" s="69">
        <f>IF(Q29=0,0,((((O21+O24+O26+O28+O27)-(S22+S25+S27)))))</f>
        <v>0</v>
      </c>
    </row>
    <row r="30" spans="2:19" ht="54" customHeight="1">
      <c r="B30" s="87"/>
      <c r="C30" s="94"/>
      <c r="D30" s="98">
        <f>IF(F29="",0,IF(F15="",0,IF(F29="Bekar",0,"Çocuk Sayısı  / A.G..İ İçin")))</f>
        <v>0</v>
      </c>
      <c r="E30" s="103" t="s">
        <v>1</v>
      </c>
      <c r="F30" s="90"/>
      <c r="G30" s="87"/>
      <c r="M30" s="84">
        <f>IF(F27=0,0,CONCATENATE("SSK Matrahı Toplamı :"," ",M21," ",M23," ",M24," ",M26," ",M27," ",M28," ","Çocuk Yardımı"," ",D37))</f>
        <v>0</v>
      </c>
      <c r="N30" s="68" t="s">
        <v>1</v>
      </c>
      <c r="O30" s="70">
        <f>IF((O21+O23+O24+O26+O27+O28+O27&gt;(Bordro!F27*'Değerler Tablosu'!E6)*6.5),((Bordro!F27*'Değerler Tablosu'!E6)*6.5),O21+O23+O24+O26+O27+O28+İstisna!M4)</f>
        <v>0</v>
      </c>
      <c r="Q30" s="67">
        <f>IF(F27=0,0,"Toplam Gel Ver.Matr.")</f>
        <v>0</v>
      </c>
      <c r="R30" s="60" t="s">
        <v>1</v>
      </c>
      <c r="S30" s="69">
        <f>F38+S29</f>
        <v>0</v>
      </c>
    </row>
    <row r="31" spans="2:19" ht="15.75">
      <c r="B31" s="87"/>
      <c r="C31" s="87"/>
      <c r="D31" s="97">
        <f>IF(F29="",0,IF(F15="",0,IF(F29="Bekar",0,"Çocuk Sayısı / Çocuk Yardımı İçin")))</f>
        <v>0</v>
      </c>
      <c r="E31" s="89" t="s">
        <v>1</v>
      </c>
      <c r="F31" s="90"/>
      <c r="G31" s="87"/>
      <c r="H31" s="85"/>
      <c r="M31" s="67">
        <f>IF(D40&lt;=0,0,CONCATENATE(D40," ",F40))</f>
        <v>0</v>
      </c>
      <c r="N31" s="68" t="s">
        <v>1</v>
      </c>
      <c r="O31" s="70">
        <f>ROUND(($O$30*F40/100),2)</f>
        <v>0</v>
      </c>
      <c r="Q31" s="67">
        <f>IF(F27=0,0,"Gelir Vergisi Oranı %")</f>
        <v>0</v>
      </c>
      <c r="R31" s="60" t="s">
        <v>1</v>
      </c>
      <c r="S31" s="69">
        <f>IF(F27="",0,+Vergi!D32)</f>
        <v>15</v>
      </c>
    </row>
    <row r="32" spans="2:19" ht="23.25" customHeight="1">
      <c r="B32" s="87"/>
      <c r="C32" s="87"/>
      <c r="D32" s="98">
        <f>IF(F27=0,0,"Yemek Gün")</f>
        <v>0</v>
      </c>
      <c r="E32" s="99" t="s">
        <v>1</v>
      </c>
      <c r="F32" s="100">
        <f>IF(D32=0,0,IF(F21="",0,SUM(F21+F22)))</f>
        <v>0</v>
      </c>
      <c r="G32" s="87"/>
      <c r="H32" s="85"/>
      <c r="M32" s="67">
        <f>IF(D41&lt;=0,0,CONCATENATE(D41," ",F41))</f>
        <v>0</v>
      </c>
      <c r="N32" s="68" t="s">
        <v>1</v>
      </c>
      <c r="O32" s="70">
        <f>ROUND(($O$30*F41/100),2)</f>
        <v>0</v>
      </c>
      <c r="Q32" s="67">
        <f>IF(F27=0,0,"Gelir Vergisi")</f>
        <v>0</v>
      </c>
      <c r="R32" s="60" t="s">
        <v>1</v>
      </c>
      <c r="S32" s="68">
        <f>ROUND((S29*S31)/100,2)</f>
        <v>0</v>
      </c>
    </row>
    <row r="33" spans="2:19" ht="15.75">
      <c r="B33" s="87"/>
      <c r="C33" s="87"/>
      <c r="D33" s="97">
        <f>IF(F27=0,0,"Yol Gün")</f>
        <v>0</v>
      </c>
      <c r="E33" s="101" t="s">
        <v>1</v>
      </c>
      <c r="F33" s="102">
        <f>IF(D33=0,0,IF(F21="",0,SUM(F21+F22)))</f>
        <v>0</v>
      </c>
      <c r="G33" s="87"/>
      <c r="M33" s="67">
        <f>IF(D44&lt;=0,0,CONCATENATE(D44," ",F44))</f>
        <v>0</v>
      </c>
      <c r="N33" s="68" t="s">
        <v>1</v>
      </c>
      <c r="O33" s="70">
        <f>ROUND(($O$30*F44/100),2)</f>
        <v>0</v>
      </c>
      <c r="Q33" s="67">
        <f>IF(F27&gt;0,"Damga Vergisi",IF(S33&gt;0,"Damga Vergisi",0))</f>
        <v>0</v>
      </c>
      <c r="R33" s="60" t="s">
        <v>1</v>
      </c>
      <c r="S33" s="68">
        <f>ROUND((O29)*Vergi!D11,2)</f>
        <v>0</v>
      </c>
    </row>
    <row r="34" spans="2:19" ht="15.75">
      <c r="B34" s="87"/>
      <c r="C34" s="87"/>
      <c r="D34" s="97">
        <f>IF(F15=0,0,"Direksiyon Primi")</f>
        <v>0</v>
      </c>
      <c r="E34" s="89" t="s">
        <v>1</v>
      </c>
      <c r="F34" s="90"/>
      <c r="G34" s="107"/>
      <c r="H34" s="78"/>
      <c r="M34" s="67">
        <f>IF(D43&lt;=0,0,CONCATENATE(D43," ",F43))</f>
        <v>0</v>
      </c>
      <c r="N34" s="68" t="s">
        <v>1</v>
      </c>
      <c r="O34" s="70">
        <f>ROUND(($O$30*F43/100),2)</f>
        <v>0</v>
      </c>
      <c r="Q34" s="79"/>
      <c r="R34" s="62"/>
      <c r="S34" s="80"/>
    </row>
    <row r="35" spans="2:19" ht="15.75">
      <c r="B35" s="87"/>
      <c r="C35" s="87"/>
      <c r="D35" s="97">
        <f>IF(F15=0,0,"Yakacak Yardımı")</f>
        <v>0</v>
      </c>
      <c r="E35" s="89" t="s">
        <v>1</v>
      </c>
      <c r="F35" s="90"/>
      <c r="G35" s="87"/>
      <c r="M35" s="61"/>
      <c r="N35" s="62"/>
      <c r="O35" s="63"/>
      <c r="Q35" s="79"/>
      <c r="R35" s="62"/>
      <c r="S35" s="80"/>
    </row>
    <row r="36" spans="2:19" ht="15.75" thickBot="1">
      <c r="B36" s="87"/>
      <c r="C36" s="87"/>
      <c r="D36" s="98">
        <f>IF(F27=0,0,"Bireysel Emeklilik Varmı")</f>
        <v>0</v>
      </c>
      <c r="E36" s="103" t="s">
        <v>1</v>
      </c>
      <c r="F36" s="104"/>
      <c r="G36" s="108"/>
      <c r="M36" s="66"/>
      <c r="N36" s="66"/>
      <c r="O36" s="66"/>
      <c r="P36" s="66"/>
      <c r="Q36" s="66"/>
      <c r="R36" s="66"/>
      <c r="S36" s="66"/>
    </row>
    <row r="37" spans="2:19" ht="21.75" thickTop="1">
      <c r="B37" s="87"/>
      <c r="C37" s="87"/>
      <c r="D37" s="98">
        <f>IF(F15="",0,"Bayram Yardımı")</f>
        <v>0</v>
      </c>
      <c r="E37" s="103" t="s">
        <v>1</v>
      </c>
      <c r="F37" s="104"/>
      <c r="G37" s="87"/>
      <c r="M37" s="71" t="s">
        <v>8</v>
      </c>
      <c r="N37" s="72" t="s">
        <v>1</v>
      </c>
      <c r="O37" s="81">
        <f>SUM(O29+O31+O33+O32+O34)</f>
        <v>0</v>
      </c>
      <c r="P37" s="72"/>
      <c r="Q37" s="71" t="s">
        <v>9</v>
      </c>
      <c r="R37" s="72" t="s">
        <v>1</v>
      </c>
      <c r="S37" s="81">
        <f>SUM(S22+S25+S32+S33+S23+S26+S21+S27+S24+S28)</f>
        <v>0</v>
      </c>
    </row>
    <row r="38" spans="2:20" ht="15.75">
      <c r="B38" s="87"/>
      <c r="C38" s="87"/>
      <c r="D38" s="97">
        <f>IF(F27=0,0,"Geçen Aylar Gel.Ver.Matrahı")</f>
        <v>0</v>
      </c>
      <c r="E38" s="89" t="s">
        <v>1</v>
      </c>
      <c r="F38" s="92"/>
      <c r="G38" s="87"/>
      <c r="M38" s="72"/>
      <c r="N38" s="72"/>
      <c r="O38" s="72"/>
      <c r="P38" s="72"/>
      <c r="Q38" s="72"/>
      <c r="R38" s="72"/>
      <c r="S38" s="72"/>
      <c r="T38" s="48"/>
    </row>
    <row r="39" spans="2:19" ht="29.25" customHeight="1">
      <c r="B39" s="87"/>
      <c r="C39" s="87"/>
      <c r="D39" s="105">
        <f>IF($F$27=0,0,'Değerler Tablosu'!H11)</f>
        <v>0</v>
      </c>
      <c r="E39" s="89" t="s">
        <v>1</v>
      </c>
      <c r="F39" s="106">
        <f>IF($F$27=0,0,'Değerler Tablosu'!J11)</f>
        <v>0</v>
      </c>
      <c r="G39" s="87"/>
      <c r="M39" s="72"/>
      <c r="N39" s="72"/>
      <c r="O39" s="72"/>
      <c r="P39" s="72"/>
      <c r="Q39" s="73" t="s">
        <v>10</v>
      </c>
      <c r="R39" s="72" t="s">
        <v>1</v>
      </c>
      <c r="S39" s="82">
        <f>O37-S37</f>
        <v>0</v>
      </c>
    </row>
    <row r="40" spans="2:19" ht="27.75" customHeight="1">
      <c r="B40" s="87"/>
      <c r="C40" s="87"/>
      <c r="D40" s="105">
        <f>IF($F$27=0,0,'Değerler Tablosu'!H12)</f>
        <v>0</v>
      </c>
      <c r="E40" s="89" t="s">
        <v>1</v>
      </c>
      <c r="F40" s="106">
        <f>IF($F$27=0,0,'Değerler Tablosu'!J12)</f>
        <v>0</v>
      </c>
      <c r="G40" s="87"/>
      <c r="M40" s="72"/>
      <c r="N40" s="72"/>
      <c r="O40" s="72"/>
      <c r="P40" s="72"/>
      <c r="Q40" s="73" t="s">
        <v>11</v>
      </c>
      <c r="R40" s="72" t="s">
        <v>1</v>
      </c>
      <c r="S40" s="82">
        <f>+'Asg Geç İnd'!Z4</f>
        <v>0</v>
      </c>
    </row>
    <row r="41" spans="2:19" ht="21">
      <c r="B41" s="87"/>
      <c r="C41" s="87"/>
      <c r="D41" s="105">
        <f>IF($F$27=0,0,'Değerler Tablosu'!H13)</f>
        <v>0</v>
      </c>
      <c r="E41" s="89" t="s">
        <v>1</v>
      </c>
      <c r="F41" s="106">
        <f>IF($F$27=0,0,'Değerler Tablosu'!J13)</f>
        <v>0</v>
      </c>
      <c r="G41" s="87"/>
      <c r="M41" s="72"/>
      <c r="N41" s="72"/>
      <c r="O41" s="72"/>
      <c r="P41" s="72"/>
      <c r="Q41" s="74" t="s">
        <v>12</v>
      </c>
      <c r="R41" s="72" t="s">
        <v>1</v>
      </c>
      <c r="S41" s="83">
        <f>SUM(S39:S40)</f>
        <v>0</v>
      </c>
    </row>
    <row r="42" spans="2:19" ht="15.75">
      <c r="B42" s="87"/>
      <c r="C42" s="87"/>
      <c r="D42" s="105">
        <f>IF($F$27=0,0,'Değerler Tablosu'!H14)</f>
        <v>0</v>
      </c>
      <c r="E42" s="89" t="s">
        <v>1</v>
      </c>
      <c r="F42" s="106">
        <f>IF($F$27=0,0,'Değerler Tablosu'!J14)</f>
        <v>0</v>
      </c>
      <c r="G42" s="87"/>
      <c r="M42" s="72"/>
      <c r="N42" s="72"/>
      <c r="O42" s="72"/>
      <c r="P42" s="72"/>
      <c r="Q42" s="72"/>
      <c r="R42" s="72"/>
      <c r="S42" s="72"/>
    </row>
    <row r="43" spans="2:13" ht="15">
      <c r="B43" s="87"/>
      <c r="C43" s="87"/>
      <c r="D43" s="105">
        <f>IF($F$27=0,0,'Değerler Tablosu'!H15)</f>
        <v>0</v>
      </c>
      <c r="E43" s="89" t="s">
        <v>1</v>
      </c>
      <c r="F43" s="106">
        <f>IF($F$27=0,0,'Değerler Tablosu'!J15)</f>
        <v>0</v>
      </c>
      <c r="G43" s="87"/>
      <c r="M43" s="32">
        <f>IF(S41&gt;0,"Not: Banka vs İşlemler İçin Kullanılacaksa İş Yerinize Onaylatınız",0)</f>
        <v>0</v>
      </c>
    </row>
    <row r="44" spans="2:7" ht="15">
      <c r="B44" s="87"/>
      <c r="C44" s="87"/>
      <c r="D44" s="105">
        <f>IF($F$27=0,0,'Değerler Tablosu'!H16)</f>
        <v>0</v>
      </c>
      <c r="E44" s="89" t="s">
        <v>1</v>
      </c>
      <c r="F44" s="106">
        <f>IF($F$27=0,0,'Değerler Tablosu'!J16)</f>
        <v>0</v>
      </c>
      <c r="G44" s="87"/>
    </row>
    <row r="45" spans="4:6" ht="15">
      <c r="D45" s="105">
        <f>IF($F$27=0,0,'Değerler Tablosu'!H17)</f>
        <v>0</v>
      </c>
      <c r="E45" s="89" t="s">
        <v>1</v>
      </c>
      <c r="F45" s="106">
        <f>IF($F$27=0,0,'Değerler Tablosu'!J17)</f>
        <v>0</v>
      </c>
    </row>
    <row r="46" spans="4:6" ht="15">
      <c r="D46" s="87"/>
      <c r="E46" s="87"/>
      <c r="F46" s="87"/>
    </row>
    <row r="47" spans="4:6" ht="15">
      <c r="D47" s="120" t="s">
        <v>81</v>
      </c>
      <c r="E47" s="120"/>
      <c r="F47" s="120"/>
    </row>
    <row r="48" spans="4:6" ht="15">
      <c r="D48" s="120"/>
      <c r="E48" s="120"/>
      <c r="F48" s="120"/>
    </row>
    <row r="49" spans="4:6" ht="15">
      <c r="D49" s="120"/>
      <c r="E49" s="120"/>
      <c r="F49" s="120"/>
    </row>
    <row r="50" spans="4:6" ht="15">
      <c r="D50" s="120"/>
      <c r="E50" s="120"/>
      <c r="F50" s="120"/>
    </row>
    <row r="51" spans="4:6" ht="15">
      <c r="D51" s="75"/>
      <c r="E51" s="75"/>
      <c r="F51" s="75"/>
    </row>
  </sheetData>
  <sheetProtection password="C620" sheet="1"/>
  <mergeCells count="6">
    <mergeCell ref="O14:Q14"/>
    <mergeCell ref="O15:Q15"/>
    <mergeCell ref="O16:Q16"/>
    <mergeCell ref="D47:F50"/>
    <mergeCell ref="D14:F14"/>
    <mergeCell ref="G27:H27"/>
  </mergeCells>
  <dataValidations count="3">
    <dataValidation type="list" allowBlank="1" showInputMessage="1" showErrorMessage="1" sqref="F29">
      <formula1>$F$2:$F$6</formula1>
    </dataValidation>
    <dataValidation type="list" allowBlank="1" showInputMessage="1" showErrorMessage="1" sqref="F30:F31">
      <formula1>$G$2:$G$6</formula1>
    </dataValidation>
    <dataValidation type="list" allowBlank="1" showInputMessage="1" showErrorMessage="1" sqref="F34:F37">
      <formula1>$H$2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89" r:id="rId3"/>
  <rowBreaks count="1" manualBreakCount="1">
    <brk id="42" min="8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5"/>
  <dimension ref="B3:M4"/>
  <sheetViews>
    <sheetView showGridLines="0" zoomScalePageLayoutView="0" workbookViewId="0" topLeftCell="A1">
      <selection activeCell="M4" sqref="M4"/>
    </sheetView>
  </sheetViews>
  <sheetFormatPr defaultColWidth="9.140625" defaultRowHeight="15"/>
  <cols>
    <col min="1" max="1" width="9.140625" style="111" customWidth="1"/>
    <col min="2" max="2" width="15.7109375" style="111" bestFit="1" customWidth="1"/>
    <col min="3" max="16384" width="9.140625" style="111" customWidth="1"/>
  </cols>
  <sheetData>
    <row r="2" ht="15.75" thickBot="1"/>
    <row r="3" spans="2:13" ht="92.25" thickBot="1">
      <c r="B3" s="112" t="s">
        <v>14</v>
      </c>
      <c r="C3" s="113" t="s">
        <v>71</v>
      </c>
      <c r="D3" s="114" t="s">
        <v>72</v>
      </c>
      <c r="E3" s="115" t="s">
        <v>73</v>
      </c>
      <c r="F3" s="115" t="s">
        <v>79</v>
      </c>
      <c r="G3" s="115" t="s">
        <v>74</v>
      </c>
      <c r="H3" s="115" t="s">
        <v>75</v>
      </c>
      <c r="I3" s="115" t="s">
        <v>76</v>
      </c>
      <c r="J3" s="115" t="s">
        <v>77</v>
      </c>
      <c r="K3" s="115" t="s">
        <v>78</v>
      </c>
      <c r="L3" s="115"/>
      <c r="M3" s="116" t="s">
        <v>80</v>
      </c>
    </row>
    <row r="4" spans="2:13" ht="15">
      <c r="B4" s="110">
        <f>+Bordro!F15</f>
        <v>0</v>
      </c>
      <c r="C4" s="109">
        <f>+Bordro!F31</f>
        <v>0</v>
      </c>
      <c r="D4" s="109">
        <f>IF(C4&gt;2,2,C4)</f>
        <v>0</v>
      </c>
      <c r="E4" s="117">
        <f>IF(C4&gt;3,3,+C4)</f>
        <v>0</v>
      </c>
      <c r="F4" s="109">
        <f>IF(C4&lt;=0,0,+'Değerler Tablosu'!I6)</f>
        <v>0</v>
      </c>
      <c r="G4" s="109">
        <f>IF(C4&lt;=0,0,1)</f>
        <v>0</v>
      </c>
      <c r="H4" s="110">
        <f>IF(C4&gt;=E4,ROUND(E4*(F4*G4),2),ROUND(E4*(F4*G4),2))</f>
        <v>0</v>
      </c>
      <c r="I4" s="110">
        <v>0</v>
      </c>
      <c r="J4" s="110">
        <f>IF(C4&gt;2,(C4-D4)*F4,0)</f>
        <v>0</v>
      </c>
      <c r="K4" s="110"/>
      <c r="L4" s="110"/>
      <c r="M4" s="110">
        <f>J4+L4</f>
        <v>0</v>
      </c>
    </row>
  </sheetData>
  <sheetProtection password="C620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2">
    <tabColor rgb="FFFFC000"/>
  </sheetPr>
  <dimension ref="B2:Z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140625" style="21" customWidth="1"/>
    <col min="2" max="2" width="8.140625" style="21" customWidth="1"/>
    <col min="3" max="3" width="17.00390625" style="21" customWidth="1"/>
    <col min="4" max="4" width="19.7109375" style="21" customWidth="1"/>
    <col min="5" max="25" width="9.140625" style="21" customWidth="1"/>
    <col min="26" max="26" width="11.7109375" style="21" customWidth="1"/>
    <col min="27" max="16384" width="9.140625" style="21" customWidth="1"/>
  </cols>
  <sheetData>
    <row r="1" ht="15"/>
    <row r="2" spans="2:26" ht="39">
      <c r="B2" s="1">
        <f>COUNTIF(B4:B33,"&gt;0")</f>
        <v>1</v>
      </c>
      <c r="C2" s="22"/>
      <c r="D2" s="22"/>
      <c r="E2" s="22"/>
      <c r="F2" s="22"/>
      <c r="G2" s="22"/>
      <c r="H2" s="22"/>
      <c r="I2" s="124"/>
      <c r="J2" s="124"/>
      <c r="K2" s="124"/>
      <c r="L2" s="124"/>
      <c r="M2" s="124"/>
      <c r="N2" s="124"/>
      <c r="O2" s="124"/>
      <c r="P2" s="124"/>
      <c r="Q2" s="124"/>
      <c r="R2" s="22"/>
      <c r="S2" s="22"/>
      <c r="T2" s="22"/>
      <c r="U2" s="22"/>
      <c r="V2" s="22"/>
      <c r="W2" s="22"/>
      <c r="X2" s="22"/>
      <c r="Y2" s="22"/>
      <c r="Z2" s="23"/>
    </row>
    <row r="3" spans="2:26" ht="84">
      <c r="B3" s="2" t="s">
        <v>13</v>
      </c>
      <c r="C3" s="3" t="s">
        <v>14</v>
      </c>
      <c r="D3" s="3" t="s">
        <v>4</v>
      </c>
      <c r="E3" s="3"/>
      <c r="F3" s="3" t="s">
        <v>15</v>
      </c>
      <c r="G3" s="3" t="s">
        <v>16</v>
      </c>
      <c r="H3" s="4" t="s">
        <v>17</v>
      </c>
      <c r="I3" s="3" t="s">
        <v>18</v>
      </c>
      <c r="J3" s="3" t="s">
        <v>19</v>
      </c>
      <c r="K3" s="5" t="s">
        <v>20</v>
      </c>
      <c r="L3" s="4" t="s">
        <v>21</v>
      </c>
      <c r="M3" s="4" t="s">
        <v>22</v>
      </c>
      <c r="N3" s="4" t="s">
        <v>23</v>
      </c>
      <c r="O3" s="3" t="s">
        <v>24</v>
      </c>
      <c r="P3" s="4" t="s">
        <v>25</v>
      </c>
      <c r="Q3" s="4" t="s">
        <v>26</v>
      </c>
      <c r="R3" s="4" t="s">
        <v>27</v>
      </c>
      <c r="S3" s="4" t="s">
        <v>28</v>
      </c>
      <c r="T3" s="4" t="s">
        <v>29</v>
      </c>
      <c r="U3" s="4" t="s">
        <v>30</v>
      </c>
      <c r="V3" s="4" t="s">
        <v>31</v>
      </c>
      <c r="W3" s="4" t="s">
        <v>32</v>
      </c>
      <c r="X3" s="4"/>
      <c r="Y3" s="4" t="s">
        <v>33</v>
      </c>
      <c r="Z3" s="6" t="s">
        <v>34</v>
      </c>
    </row>
    <row r="4" spans="2:26" ht="15.75">
      <c r="B4" s="7">
        <v>1</v>
      </c>
      <c r="C4" s="8">
        <f>+Bordro!F15</f>
        <v>0</v>
      </c>
      <c r="D4" s="9">
        <f>+Bordro!F29</f>
        <v>0</v>
      </c>
      <c r="E4" s="8">
        <f>MID(D4,10,10)</f>
      </c>
      <c r="F4" s="8">
        <f>IF(B4&lt;=0,"",IF(E4="Çalışıyor","Evet",IF(D4="Dul","",IF(D4="Bekar","",IF(E4="Çalışmıyor","Hayır",IF(D4="Evli Eşi Emekli V.İnd Yararlanıyor","Hayır",""))))))</f>
      </c>
      <c r="G4" s="8">
        <f>+Bordro!F30</f>
        <v>0</v>
      </c>
      <c r="H4" s="24">
        <f>+Bordro!S29</f>
        <v>0</v>
      </c>
      <c r="I4" s="24"/>
      <c r="J4" s="24">
        <f>H4-I4</f>
        <v>0</v>
      </c>
      <c r="K4" s="10">
        <f>ROUND((J4*0.15),2)</f>
        <v>0</v>
      </c>
      <c r="L4" s="10">
        <f>+'Değerler Tablosu'!E7</f>
        <v>98.1</v>
      </c>
      <c r="M4" s="24">
        <f>(L4*30)*12</f>
        <v>35316</v>
      </c>
      <c r="N4" s="11">
        <f>ROUND((M4*Y4)/100,2)</f>
        <v>17658</v>
      </c>
      <c r="O4" s="11">
        <f>ROUND((N4*0.15),2)</f>
        <v>2648.7</v>
      </c>
      <c r="P4" s="12">
        <f>ROUND((O4/12),2)</f>
        <v>220.73</v>
      </c>
      <c r="Q4" s="13">
        <f>IF(K4-P4&lt;0,0,K4-P4)</f>
        <v>0</v>
      </c>
      <c r="R4" s="25">
        <f>IF(B4&lt;=0,0,50)</f>
        <v>50</v>
      </c>
      <c r="S4" s="14">
        <f>IF(F4="Hayır",10,0)</f>
        <v>0</v>
      </c>
      <c r="T4" s="14">
        <f>IF(G4=0,0,IF(G4=1,7.5,IF(G4&gt;1,7.5)))</f>
        <v>0</v>
      </c>
      <c r="U4" s="14">
        <f>IF(G4=0,0,IF(G4&gt;1,7.5,))</f>
        <v>0</v>
      </c>
      <c r="V4" s="14">
        <f>IF(G4&gt;2,10,0)</f>
        <v>0</v>
      </c>
      <c r="W4" s="11">
        <f>IF(A4=0,0,IF((R4+S4+T4+U4+V4)&gt;=85,0,5))</f>
        <v>0</v>
      </c>
      <c r="X4" s="14"/>
      <c r="Y4" s="14">
        <f>SUM(R4:X4)</f>
        <v>50</v>
      </c>
      <c r="Z4" s="26">
        <f>IF(K4&lt;P4,+K4,+P4)</f>
        <v>0</v>
      </c>
    </row>
    <row r="16" ht="15.75">
      <c r="C16" s="27"/>
    </row>
    <row r="17" ht="15">
      <c r="C17" s="52" t="str">
        <f>+Bordro!D47</f>
        <v>Soru ve Sorunlarınız için 
Mustafa İŞBİLİR 0 542 768 68 25
Afyon Kocatepe Ünv./İdari Ve Mali İşler / Şube Müdürü  /  Mart 2020</v>
      </c>
    </row>
  </sheetData>
  <sheetProtection password="C620" sheet="1"/>
  <mergeCells count="1">
    <mergeCell ref="I2:Q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/>
  <dimension ref="A1:L49"/>
  <sheetViews>
    <sheetView showGridLines="0" zoomScalePageLayoutView="0" workbookViewId="0" topLeftCell="A1">
      <selection activeCell="C1" sqref="C1:E1"/>
    </sheetView>
  </sheetViews>
  <sheetFormatPr defaultColWidth="9.140625" defaultRowHeight="15"/>
  <cols>
    <col min="1" max="2" width="9.140625" style="28" customWidth="1"/>
    <col min="3" max="3" width="20.57421875" style="28" customWidth="1"/>
    <col min="4" max="4" width="14.00390625" style="28" customWidth="1"/>
    <col min="5" max="5" width="21.8515625" style="28" customWidth="1"/>
    <col min="6" max="6" width="26.8515625" style="28" customWidth="1"/>
    <col min="7" max="7" width="11.140625" style="28" customWidth="1"/>
    <col min="8" max="9" width="9.140625" style="28" customWidth="1"/>
    <col min="10" max="16" width="0" style="28" hidden="1" customWidth="1"/>
    <col min="17" max="16384" width="9.140625" style="28" customWidth="1"/>
  </cols>
  <sheetData>
    <row r="1" spans="3:5" ht="15">
      <c r="C1" s="125" t="str">
        <f>CONCATENATE(C2," ","Yılı İçin")</f>
        <v>2019 Yılı İçin</v>
      </c>
      <c r="D1" s="125"/>
      <c r="E1" s="125"/>
    </row>
    <row r="2" spans="2:5" ht="30" customHeight="1">
      <c r="B2" s="29" t="s">
        <v>3</v>
      </c>
      <c r="C2" s="55">
        <v>2019</v>
      </c>
      <c r="E2" s="30"/>
    </row>
    <row r="3" spans="1:11" ht="31.5" customHeight="1">
      <c r="A3" s="28">
        <v>1</v>
      </c>
      <c r="B3" s="31" t="s">
        <v>39</v>
      </c>
      <c r="C3" s="56">
        <v>18000</v>
      </c>
      <c r="E3" s="126" t="str">
        <f>CONCATENATE(C3," ","TL'ye kadar"," ","(0","-",C3,".-TL)")</f>
        <v>18000 TL'ye kadar (0-18000.-TL)</v>
      </c>
      <c r="F3" s="126"/>
      <c r="G3" s="53">
        <v>0.15</v>
      </c>
      <c r="K3" s="32">
        <f>ROUND(C3*0.15,2)</f>
        <v>2700</v>
      </c>
    </row>
    <row r="4" spans="1:12" ht="34.5" customHeight="1">
      <c r="A4" s="28">
        <v>2</v>
      </c>
      <c r="B4" s="33" t="s">
        <v>40</v>
      </c>
      <c r="C4" s="56">
        <v>40000</v>
      </c>
      <c r="E4" s="126" t="str">
        <f>CONCATENATE(C4,"-TL'nin"," ",C3,"-TL'si için"," ",K3,"-TL, fazlası","( ",C4,"-",C3,"-TL)")</f>
        <v>40000-TL'nin 18000-TL'si için 2700-TL, fazlası( 40000-18000-TL)</v>
      </c>
      <c r="F4" s="126"/>
      <c r="G4" s="53">
        <v>0.2</v>
      </c>
      <c r="K4" s="32">
        <f>ROUND((C4-C3)*0.2,2)</f>
        <v>4400</v>
      </c>
      <c r="L4" s="32">
        <f>K4+K3</f>
        <v>7100</v>
      </c>
    </row>
    <row r="5" spans="1:7" ht="36" customHeight="1">
      <c r="A5" s="28">
        <v>3</v>
      </c>
      <c r="B5" s="34" t="s">
        <v>41</v>
      </c>
      <c r="C5" s="56">
        <v>148000</v>
      </c>
      <c r="D5" s="54"/>
      <c r="E5" s="126" t="str">
        <f>CONCATENATE(C5,"-TL'nin"," ",C4," ","- TL'si için"," ",L4,"-TL"," ","fazlası","(",C5,"-",C4,"-TL)")</f>
        <v>148000-TL'nin 40000 - TL'si için 7100-TL fazlası(148000-40000-TL)</v>
      </c>
      <c r="F5" s="126"/>
      <c r="G5" s="53">
        <v>0.27</v>
      </c>
    </row>
    <row r="6" spans="5:7" ht="30.75" customHeight="1">
      <c r="E6" s="126" t="str">
        <f>CONCATENATE(C5," ","-TL'den fazlası")</f>
        <v>148000 -TL'den fazlası</v>
      </c>
      <c r="F6" s="126"/>
      <c r="G6" s="53">
        <v>0.35</v>
      </c>
    </row>
    <row r="11" spans="3:4" ht="15">
      <c r="C11" s="35" t="s">
        <v>42</v>
      </c>
      <c r="D11" s="57">
        <v>0.00759</v>
      </c>
    </row>
    <row r="12" spans="3:4" ht="15">
      <c r="C12" s="36" t="s">
        <v>43</v>
      </c>
      <c r="D12" s="35"/>
    </row>
    <row r="14" ht="12.75" customHeight="1"/>
    <row r="15" ht="12.75" customHeight="1" hidden="1"/>
    <row r="16" ht="12.75" customHeight="1" hidden="1"/>
    <row r="17" ht="12.75" customHeight="1" hidden="1">
      <c r="C17" s="37"/>
    </row>
    <row r="18" ht="12.75" customHeight="1" hidden="1"/>
    <row r="19" spans="3:8" ht="12.75" customHeight="1" hidden="1">
      <c r="C19" s="38">
        <v>15</v>
      </c>
      <c r="D19" s="38">
        <v>16</v>
      </c>
      <c r="E19" s="38">
        <v>17</v>
      </c>
      <c r="F19" s="38">
        <v>18</v>
      </c>
      <c r="G19" s="32"/>
      <c r="H19" s="32"/>
    </row>
    <row r="20" spans="3:10" ht="30" hidden="1">
      <c r="C20" s="39" t="s">
        <v>44</v>
      </c>
      <c r="D20" s="40" t="s">
        <v>45</v>
      </c>
      <c r="E20" s="40" t="s">
        <v>46</v>
      </c>
      <c r="F20" s="40" t="s">
        <v>46</v>
      </c>
      <c r="G20" s="40" t="s">
        <v>47</v>
      </c>
      <c r="H20" s="40" t="s">
        <v>47</v>
      </c>
      <c r="I20" s="40"/>
      <c r="J20" s="40"/>
    </row>
    <row r="21" spans="3:10" ht="12.75" customHeight="1" hidden="1">
      <c r="C21" s="41">
        <f>+D32</f>
        <v>15</v>
      </c>
      <c r="D21" s="42">
        <f>IF(Bordro!S30&lt;=C3,G3,IF(Bordro!S30&gt;C3,G4))*100</f>
        <v>15</v>
      </c>
      <c r="E21" s="35">
        <f>IF(Bordro!S30&gt;C4,"Evet",0)</f>
        <v>0</v>
      </c>
      <c r="F21" s="43">
        <f>IF(E21="Evet",G5,0)*100</f>
        <v>0</v>
      </c>
      <c r="G21" s="35">
        <f>IF(Bordro!S30&gt;C5,"Malesef",0)</f>
        <v>0</v>
      </c>
      <c r="H21" s="43">
        <f>IF(G21="Malesef",G6,0)*100</f>
        <v>0</v>
      </c>
      <c r="I21" s="35"/>
      <c r="J21" s="43"/>
    </row>
    <row r="22" ht="12.75" customHeight="1" hidden="1">
      <c r="C22" s="44"/>
    </row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>
      <c r="D27" s="45">
        <f>+C19</f>
        <v>15</v>
      </c>
    </row>
    <row r="28" ht="12.75" customHeight="1" hidden="1">
      <c r="D28" s="45">
        <f>+D21</f>
        <v>15</v>
      </c>
    </row>
    <row r="29" ht="12.75" customHeight="1" hidden="1">
      <c r="D29" s="45">
        <f>+F21</f>
        <v>0</v>
      </c>
    </row>
    <row r="30" ht="12.75" customHeight="1" hidden="1">
      <c r="D30" s="46">
        <f>+H21</f>
        <v>0</v>
      </c>
    </row>
    <row r="31" ht="12.75" customHeight="1" hidden="1">
      <c r="D31" s="45"/>
    </row>
    <row r="32" spans="3:4" ht="12.75" customHeight="1" hidden="1">
      <c r="C32" s="44" t="s">
        <v>48</v>
      </c>
      <c r="D32" s="45">
        <f>MAX(D27:D30)</f>
        <v>15</v>
      </c>
    </row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5" hidden="1"/>
    <row r="42" ht="15.75">
      <c r="B42" s="15" t="str">
        <f>+Bordro!D47</f>
        <v>Soru ve Sorunlarınız için 
Mustafa İŞBİLİR 0 542 768 68 25
Afyon Kocatepe Ünv./İdari Ve Mali İşler / Şube Müdürü  /  Mart 2020</v>
      </c>
    </row>
    <row r="46" spans="2:3" ht="15">
      <c r="B46" s="29" t="s">
        <v>3</v>
      </c>
      <c r="C46" s="55">
        <v>2018</v>
      </c>
    </row>
    <row r="47" spans="1:3" ht="15">
      <c r="A47" s="28">
        <v>1</v>
      </c>
      <c r="B47" s="31" t="s">
        <v>39</v>
      </c>
      <c r="C47" s="56">
        <v>14800</v>
      </c>
    </row>
    <row r="48" spans="1:3" ht="15">
      <c r="A48" s="28">
        <v>2</v>
      </c>
      <c r="B48" s="33" t="s">
        <v>40</v>
      </c>
      <c r="C48" s="56">
        <v>34000</v>
      </c>
    </row>
    <row r="49" spans="1:3" ht="15">
      <c r="A49" s="28">
        <v>3</v>
      </c>
      <c r="B49" s="34" t="s">
        <v>41</v>
      </c>
      <c r="C49" s="56">
        <v>120000</v>
      </c>
    </row>
  </sheetData>
  <sheetProtection password="C620" sheet="1"/>
  <mergeCells count="5">
    <mergeCell ref="C1:E1"/>
    <mergeCell ref="E3:F3"/>
    <mergeCell ref="E4:F4"/>
    <mergeCell ref="E5:F5"/>
    <mergeCell ref="E6:F6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4">
    <tabColor theme="7" tint="0.5999900102615356"/>
  </sheetPr>
  <dimension ref="B3:K25"/>
  <sheetViews>
    <sheetView showGridLines="0" zoomScalePageLayoutView="0" workbookViewId="0" topLeftCell="A1">
      <selection activeCell="I6" sqref="I6"/>
    </sheetView>
  </sheetViews>
  <sheetFormatPr defaultColWidth="9.140625" defaultRowHeight="15"/>
  <cols>
    <col min="1" max="2" width="9.140625" style="32" customWidth="1"/>
    <col min="3" max="3" width="12.00390625" style="32" customWidth="1"/>
    <col min="4" max="4" width="21.421875" style="32" customWidth="1"/>
    <col min="5" max="5" width="15.421875" style="32" customWidth="1"/>
    <col min="6" max="7" width="9.140625" style="32" customWidth="1"/>
    <col min="8" max="8" width="24.8515625" style="32" bestFit="1" customWidth="1"/>
    <col min="9" max="10" width="9.140625" style="32" customWidth="1"/>
    <col min="11" max="11" width="19.28125" style="32" bestFit="1" customWidth="1"/>
    <col min="12" max="16384" width="9.140625" style="32" customWidth="1"/>
  </cols>
  <sheetData>
    <row r="1" ht="15"/>
    <row r="2" ht="15"/>
    <row r="3" ht="15">
      <c r="I3" s="38" t="s">
        <v>67</v>
      </c>
    </row>
    <row r="4" spans="3:11" ht="15.75">
      <c r="C4" s="130" t="s">
        <v>38</v>
      </c>
      <c r="D4" s="130"/>
      <c r="E4" s="130"/>
      <c r="H4" s="35" t="s">
        <v>52</v>
      </c>
      <c r="I4" s="76">
        <v>5</v>
      </c>
      <c r="J4" s="77">
        <f>E6*0.06</f>
        <v>5.885999999999999</v>
      </c>
      <c r="K4" s="35" t="s">
        <v>54</v>
      </c>
    </row>
    <row r="5" spans="3:9" ht="15.75">
      <c r="C5" s="128" t="s">
        <v>3</v>
      </c>
      <c r="D5" s="129"/>
      <c r="E5" s="19">
        <v>2010</v>
      </c>
      <c r="H5" s="35" t="s">
        <v>53</v>
      </c>
      <c r="I5" s="76">
        <v>5.1</v>
      </c>
    </row>
    <row r="6" spans="3:9" ht="15">
      <c r="C6" s="127" t="s">
        <v>49</v>
      </c>
      <c r="D6" s="127"/>
      <c r="E6" s="20">
        <v>98.1</v>
      </c>
      <c r="H6" s="35" t="s">
        <v>68</v>
      </c>
      <c r="I6" s="76">
        <v>25</v>
      </c>
    </row>
    <row r="7" spans="3:9" ht="15">
      <c r="C7" s="127" t="s">
        <v>50</v>
      </c>
      <c r="D7" s="127"/>
      <c r="E7" s="20">
        <v>98.1</v>
      </c>
      <c r="H7" s="35" t="s">
        <v>69</v>
      </c>
      <c r="I7" s="76">
        <v>30</v>
      </c>
    </row>
    <row r="8" spans="8:9" ht="15">
      <c r="H8" s="35" t="s">
        <v>61</v>
      </c>
      <c r="I8" s="76">
        <v>75</v>
      </c>
    </row>
    <row r="9" spans="8:9" ht="15">
      <c r="H9" s="35" t="s">
        <v>70</v>
      </c>
      <c r="I9" s="76">
        <v>2</v>
      </c>
    </row>
    <row r="10" spans="3:5" ht="15.75">
      <c r="C10" s="128" t="s">
        <v>3</v>
      </c>
      <c r="D10" s="129"/>
      <c r="E10" s="19">
        <v>2018</v>
      </c>
    </row>
    <row r="11" spans="3:10" ht="15">
      <c r="C11" s="127" t="s">
        <v>49</v>
      </c>
      <c r="D11" s="127"/>
      <c r="E11" s="20">
        <v>67.65</v>
      </c>
      <c r="H11" s="59" t="s">
        <v>6</v>
      </c>
      <c r="I11" s="65" t="s">
        <v>1</v>
      </c>
      <c r="J11" s="64">
        <v>1</v>
      </c>
    </row>
    <row r="12" spans="3:10" ht="15">
      <c r="C12" s="127" t="s">
        <v>50</v>
      </c>
      <c r="D12" s="127"/>
      <c r="E12" s="20">
        <v>67.65</v>
      </c>
      <c r="H12" s="59" t="s">
        <v>7</v>
      </c>
      <c r="I12" s="65" t="s">
        <v>1</v>
      </c>
      <c r="J12" s="64">
        <v>2</v>
      </c>
    </row>
    <row r="13" spans="8:10" ht="15">
      <c r="H13" s="59" t="s">
        <v>56</v>
      </c>
      <c r="I13" s="65" t="s">
        <v>1</v>
      </c>
      <c r="J13" s="64">
        <v>2</v>
      </c>
    </row>
    <row r="14" spans="3:10" ht="15.75">
      <c r="C14" s="128" t="s">
        <v>3</v>
      </c>
      <c r="D14" s="129"/>
      <c r="E14" s="19">
        <v>2017</v>
      </c>
      <c r="H14" s="59" t="s">
        <v>57</v>
      </c>
      <c r="I14" s="65" t="s">
        <v>1</v>
      </c>
      <c r="J14" s="64">
        <v>9</v>
      </c>
    </row>
    <row r="15" spans="3:10" ht="15">
      <c r="C15" s="127" t="s">
        <v>49</v>
      </c>
      <c r="D15" s="127"/>
      <c r="E15" s="20">
        <v>59.25</v>
      </c>
      <c r="H15" s="59" t="s">
        <v>58</v>
      </c>
      <c r="I15" s="65" t="s">
        <v>1</v>
      </c>
      <c r="J15" s="64">
        <v>11</v>
      </c>
    </row>
    <row r="16" spans="3:10" ht="15">
      <c r="C16" s="127" t="s">
        <v>50</v>
      </c>
      <c r="D16" s="127"/>
      <c r="E16" s="20">
        <v>59.25</v>
      </c>
      <c r="H16" s="59" t="s">
        <v>59</v>
      </c>
      <c r="I16" s="65" t="s">
        <v>1</v>
      </c>
      <c r="J16" s="64">
        <v>7.5</v>
      </c>
    </row>
    <row r="17" spans="8:10" ht="15">
      <c r="H17" s="59" t="s">
        <v>60</v>
      </c>
      <c r="I17" s="65" t="s">
        <v>1</v>
      </c>
      <c r="J17" s="64">
        <v>5</v>
      </c>
    </row>
    <row r="18" spans="3:10" ht="15.75">
      <c r="C18" s="128" t="s">
        <v>3</v>
      </c>
      <c r="D18" s="129"/>
      <c r="E18" s="19">
        <v>2016</v>
      </c>
      <c r="H18" s="59" t="s">
        <v>63</v>
      </c>
      <c r="I18" s="65" t="s">
        <v>1</v>
      </c>
      <c r="J18" s="64">
        <v>3</v>
      </c>
    </row>
    <row r="19" spans="3:5" ht="15">
      <c r="C19" s="127" t="s">
        <v>49</v>
      </c>
      <c r="D19" s="127"/>
      <c r="E19" s="20">
        <v>54.9</v>
      </c>
    </row>
    <row r="20" spans="3:5" ht="15">
      <c r="C20" s="127" t="s">
        <v>50</v>
      </c>
      <c r="D20" s="127"/>
      <c r="E20" s="20">
        <v>54.9</v>
      </c>
    </row>
    <row r="25" ht="15">
      <c r="B25" s="32" t="str">
        <f>+Bordro!D47</f>
        <v>Soru ve Sorunlarınız için 
Mustafa İŞBİLİR 0 542 768 68 25
Afyon Kocatepe Ünv./İdari Ve Mali İşler / Şube Müdürü  /  Mart 2020</v>
      </c>
    </row>
  </sheetData>
  <sheetProtection password="C620" sheet="1"/>
  <mergeCells count="13">
    <mergeCell ref="C6:D6"/>
    <mergeCell ref="C7:D7"/>
    <mergeCell ref="C4:E4"/>
    <mergeCell ref="C5:D5"/>
    <mergeCell ref="C16:D16"/>
    <mergeCell ref="C10:D10"/>
    <mergeCell ref="C11:D11"/>
    <mergeCell ref="C12:D12"/>
    <mergeCell ref="C14:D14"/>
    <mergeCell ref="C15:D15"/>
    <mergeCell ref="C18:D18"/>
    <mergeCell ref="C19:D19"/>
    <mergeCell ref="C20:D2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Progressive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misbilir</cp:lastModifiedBy>
  <cp:lastPrinted>2018-08-09T06:42:59Z</cp:lastPrinted>
  <dcterms:created xsi:type="dcterms:W3CDTF">2017-12-07T12:07:34Z</dcterms:created>
  <dcterms:modified xsi:type="dcterms:W3CDTF">2020-09-22T11:33:12Z</dcterms:modified>
  <cp:category/>
  <cp:version/>
  <cp:contentType/>
  <cp:contentStatus/>
</cp:coreProperties>
</file>