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243" activeTab="0"/>
  </bookViews>
  <sheets>
    <sheet name="Bilgi Girişi" sheetId="1" r:id="rId1"/>
    <sheet name="Tek Kişilik" sheetId="2" r:id="rId2"/>
    <sheet name="Personel Listesi" sheetId="3" r:id="rId3"/>
    <sheet name="Katsayılar" sheetId="4" r:id="rId4"/>
    <sheet name="istisnalar" sheetId="5" r:id="rId5"/>
    <sheet name="Asgari Geçim İnd." sheetId="6" r:id="rId6"/>
  </sheets>
  <definedNames>
    <definedName name="_xlnm._FilterDatabase" localSheetId="2" hidden="1">'Personel Listesi'!$B$2:$AZ$50</definedName>
    <definedName name="txtYil">#REF!</definedName>
    <definedName name="_xlnm.Print_Area" localSheetId="5">'Asgari Geçim İnd.'!$AA$1:$AT$34</definedName>
    <definedName name="_xlnm.Print_Area" localSheetId="0">'Bilgi Girişi'!$A$1:$V$47</definedName>
    <definedName name="_xlnm.Print_Area" localSheetId="1">'Tek Kişilik'!$A$5:$I$80</definedName>
  </definedNames>
  <calcPr fullCalcOnLoad="1"/>
</workbook>
</file>

<file path=xl/comments1.xml><?xml version="1.0" encoding="utf-8"?>
<comments xmlns="http://schemas.openxmlformats.org/spreadsheetml/2006/main">
  <authors>
    <author>hp</author>
  </authors>
  <commentList>
    <comment ref="N26" authorId="0">
      <text>
        <r>
          <rPr>
            <b/>
            <sz val="9"/>
            <rFont val="Tahoma"/>
            <family val="2"/>
          </rPr>
          <t>hp:</t>
        </r>
        <r>
          <rPr>
            <sz val="9"/>
            <rFont val="Tahoma"/>
            <family val="2"/>
          </rPr>
          <t xml:space="preserve">
DİKKAT ET</t>
        </r>
      </text>
    </comment>
    <comment ref="I32" authorId="0">
      <text>
        <r>
          <rPr>
            <b/>
            <sz val="9"/>
            <rFont val="Tahoma"/>
            <family val="0"/>
          </rPr>
          <t>hp:</t>
        </r>
        <r>
          <rPr>
            <sz val="9"/>
            <rFont val="Tahoma"/>
            <family val="0"/>
          </rPr>
          <t xml:space="preserve">
ELLE GİRİNİZ
</t>
        </r>
      </text>
    </comment>
  </commentList>
</comments>
</file>

<file path=xl/comments3.xml><?xml version="1.0" encoding="utf-8"?>
<comments xmlns="http://schemas.openxmlformats.org/spreadsheetml/2006/main">
  <authors>
    <author>xx</author>
  </authors>
  <commentList>
    <comment ref="AR8" authorId="0">
      <text>
        <r>
          <rPr>
            <b/>
            <sz val="9"/>
            <rFont val="Tahoma"/>
            <family val="2"/>
          </rPr>
          <t>xx:</t>
        </r>
        <r>
          <rPr>
            <sz val="9"/>
            <rFont val="Tahoma"/>
            <family val="2"/>
          </rPr>
          <t xml:space="preserve">
ASKERE GİTTİ
</t>
        </r>
      </text>
    </comment>
    <comment ref="AR26" authorId="0">
      <text>
        <r>
          <rPr>
            <b/>
            <sz val="9"/>
            <rFont val="Tahoma"/>
            <family val="2"/>
          </rPr>
          <t>xx:</t>
        </r>
        <r>
          <rPr>
            <sz val="9"/>
            <rFont val="Tahoma"/>
            <family val="2"/>
          </rPr>
          <t xml:space="preserve">
ASKERE GİTTİ
</t>
        </r>
      </text>
    </comment>
    <comment ref="AM9" authorId="0">
      <text>
        <r>
          <rPr>
            <b/>
            <sz val="9"/>
            <rFont val="Tahoma"/>
            <family val="2"/>
          </rPr>
          <t>xx:</t>
        </r>
        <r>
          <rPr>
            <sz val="9"/>
            <rFont val="Tahoma"/>
            <family val="2"/>
          </rPr>
          <t xml:space="preserve">
Ocak 2012 Türk eğitim Son Defa Kesinti Yapılacak Şubat 2012 de Eğitim Bir Sen </t>
        </r>
      </text>
    </comment>
  </commentList>
</comments>
</file>

<file path=xl/comments6.xml><?xml version="1.0" encoding="utf-8"?>
<comments xmlns="http://schemas.openxmlformats.org/spreadsheetml/2006/main">
  <authors>
    <author> hp</author>
  </authors>
  <commentList>
    <comment ref="H8" authorId="0">
      <text>
        <r>
          <rPr>
            <b/>
            <sz val="8"/>
            <rFont val="Tahoma"/>
            <family val="2"/>
          </rPr>
          <t xml:space="preserve"> hp:</t>
        </r>
        <r>
          <rPr>
            <sz val="8"/>
            <rFont val="Tahoma"/>
            <family val="2"/>
          </rPr>
          <t xml:space="preserve">
Elle Gierbilirsiniz
</t>
        </r>
      </text>
    </comment>
    <comment ref="K8" authorId="0">
      <text>
        <r>
          <rPr>
            <sz val="8"/>
            <rFont val="Tahoma"/>
            <family val="2"/>
          </rPr>
          <t xml:space="preserve">
ELLE GİRİNİZ</t>
        </r>
      </text>
    </comment>
    <comment ref="H9" authorId="0">
      <text>
        <r>
          <rPr>
            <b/>
            <sz val="8"/>
            <rFont val="Tahoma"/>
            <family val="2"/>
          </rPr>
          <t xml:space="preserve"> hp:</t>
        </r>
        <r>
          <rPr>
            <sz val="8"/>
            <rFont val="Tahoma"/>
            <family val="2"/>
          </rPr>
          <t xml:space="preserve">
Elle Gierbilirsiniz
</t>
        </r>
      </text>
    </comment>
    <comment ref="K9" authorId="0">
      <text>
        <r>
          <rPr>
            <sz val="8"/>
            <rFont val="Tahoma"/>
            <family val="2"/>
          </rPr>
          <t xml:space="preserve">
ELLE GİRİNİZ</t>
        </r>
      </text>
    </comment>
    <comment ref="H10" authorId="0">
      <text>
        <r>
          <rPr>
            <b/>
            <sz val="8"/>
            <rFont val="Tahoma"/>
            <family val="2"/>
          </rPr>
          <t xml:space="preserve"> hp:</t>
        </r>
        <r>
          <rPr>
            <sz val="8"/>
            <rFont val="Tahoma"/>
            <family val="2"/>
          </rPr>
          <t xml:space="preserve">
Elle Gierbilirsiniz
</t>
        </r>
      </text>
    </comment>
    <comment ref="K10" authorId="0">
      <text>
        <r>
          <rPr>
            <sz val="8"/>
            <rFont val="Tahoma"/>
            <family val="2"/>
          </rPr>
          <t xml:space="preserve">
ELLE GİRİNİZ</t>
        </r>
      </text>
    </comment>
    <comment ref="H11" authorId="0">
      <text>
        <r>
          <rPr>
            <b/>
            <sz val="8"/>
            <rFont val="Tahoma"/>
            <family val="2"/>
          </rPr>
          <t xml:space="preserve"> hp:</t>
        </r>
        <r>
          <rPr>
            <sz val="8"/>
            <rFont val="Tahoma"/>
            <family val="2"/>
          </rPr>
          <t xml:space="preserve">
Elle Gierbilirsiniz
</t>
        </r>
      </text>
    </comment>
    <comment ref="K11" authorId="0">
      <text>
        <r>
          <rPr>
            <sz val="8"/>
            <rFont val="Tahoma"/>
            <family val="2"/>
          </rPr>
          <t xml:space="preserve">
ELLE GİRİNİZ</t>
        </r>
      </text>
    </comment>
    <comment ref="H12" authorId="0">
      <text>
        <r>
          <rPr>
            <b/>
            <sz val="8"/>
            <rFont val="Tahoma"/>
            <family val="2"/>
          </rPr>
          <t xml:space="preserve"> hp:</t>
        </r>
        <r>
          <rPr>
            <sz val="8"/>
            <rFont val="Tahoma"/>
            <family val="2"/>
          </rPr>
          <t xml:space="preserve">
Elle Gierbilirsiniz
</t>
        </r>
      </text>
    </comment>
    <comment ref="K12" authorId="0">
      <text>
        <r>
          <rPr>
            <sz val="8"/>
            <rFont val="Tahoma"/>
            <family val="2"/>
          </rPr>
          <t xml:space="preserve">
ELLE GİRİNİZ</t>
        </r>
      </text>
    </comment>
    <comment ref="H13" authorId="0">
      <text>
        <r>
          <rPr>
            <b/>
            <sz val="8"/>
            <rFont val="Tahoma"/>
            <family val="2"/>
          </rPr>
          <t xml:space="preserve"> hp:</t>
        </r>
        <r>
          <rPr>
            <sz val="8"/>
            <rFont val="Tahoma"/>
            <family val="2"/>
          </rPr>
          <t xml:space="preserve">
Elle Gierbilirsiniz
</t>
        </r>
      </text>
    </comment>
    <comment ref="K13" authorId="0">
      <text>
        <r>
          <rPr>
            <sz val="8"/>
            <rFont val="Tahoma"/>
            <family val="2"/>
          </rPr>
          <t xml:space="preserve">
ELLE GİRİNİZ</t>
        </r>
      </text>
    </comment>
    <comment ref="H14" authorId="0">
      <text>
        <r>
          <rPr>
            <b/>
            <sz val="8"/>
            <rFont val="Tahoma"/>
            <family val="2"/>
          </rPr>
          <t xml:space="preserve"> hp:</t>
        </r>
        <r>
          <rPr>
            <sz val="8"/>
            <rFont val="Tahoma"/>
            <family val="2"/>
          </rPr>
          <t xml:space="preserve">
Elle Gierbilirsiniz
</t>
        </r>
      </text>
    </comment>
    <comment ref="K14" authorId="0">
      <text>
        <r>
          <rPr>
            <sz val="8"/>
            <rFont val="Tahoma"/>
            <family val="2"/>
          </rPr>
          <t xml:space="preserve">
ELLE GİRİNİZ</t>
        </r>
      </text>
    </comment>
    <comment ref="H15" authorId="0">
      <text>
        <r>
          <rPr>
            <b/>
            <sz val="8"/>
            <rFont val="Tahoma"/>
            <family val="2"/>
          </rPr>
          <t xml:space="preserve"> hp:</t>
        </r>
        <r>
          <rPr>
            <sz val="8"/>
            <rFont val="Tahoma"/>
            <family val="2"/>
          </rPr>
          <t xml:space="preserve">
Elle Gierbilirsiniz
</t>
        </r>
      </text>
    </comment>
    <comment ref="K15" authorId="0">
      <text>
        <r>
          <rPr>
            <sz val="8"/>
            <rFont val="Tahoma"/>
            <family val="2"/>
          </rPr>
          <t xml:space="preserve">
ELLE GİRİNİZ</t>
        </r>
      </text>
    </comment>
    <comment ref="H16" authorId="0">
      <text>
        <r>
          <rPr>
            <b/>
            <sz val="8"/>
            <rFont val="Tahoma"/>
            <family val="2"/>
          </rPr>
          <t xml:space="preserve"> hp:</t>
        </r>
        <r>
          <rPr>
            <sz val="8"/>
            <rFont val="Tahoma"/>
            <family val="2"/>
          </rPr>
          <t xml:space="preserve">
Elle Gierbilirsiniz
</t>
        </r>
      </text>
    </comment>
    <comment ref="K16" authorId="0">
      <text>
        <r>
          <rPr>
            <sz val="8"/>
            <rFont val="Tahoma"/>
            <family val="2"/>
          </rPr>
          <t xml:space="preserve">
ELLE GİRİNİZ</t>
        </r>
      </text>
    </comment>
    <comment ref="H17" authorId="0">
      <text>
        <r>
          <rPr>
            <b/>
            <sz val="8"/>
            <rFont val="Tahoma"/>
            <family val="2"/>
          </rPr>
          <t xml:space="preserve"> hp:</t>
        </r>
        <r>
          <rPr>
            <sz val="8"/>
            <rFont val="Tahoma"/>
            <family val="2"/>
          </rPr>
          <t xml:space="preserve">
Elle Gierbilirsiniz
</t>
        </r>
      </text>
    </comment>
    <comment ref="K17" authorId="0">
      <text>
        <r>
          <rPr>
            <sz val="8"/>
            <rFont val="Tahoma"/>
            <family val="2"/>
          </rPr>
          <t xml:space="preserve">
ELLE GİRİNİZ</t>
        </r>
      </text>
    </comment>
    <comment ref="H18" authorId="0">
      <text>
        <r>
          <rPr>
            <b/>
            <sz val="8"/>
            <rFont val="Tahoma"/>
            <family val="2"/>
          </rPr>
          <t xml:space="preserve"> hp:</t>
        </r>
        <r>
          <rPr>
            <sz val="8"/>
            <rFont val="Tahoma"/>
            <family val="2"/>
          </rPr>
          <t xml:space="preserve">
Elle Gierbilirsiniz
</t>
        </r>
      </text>
    </comment>
    <comment ref="K18" authorId="0">
      <text>
        <r>
          <rPr>
            <sz val="8"/>
            <rFont val="Tahoma"/>
            <family val="2"/>
          </rPr>
          <t xml:space="preserve">
ELLE GİRİNİZ</t>
        </r>
      </text>
    </comment>
    <comment ref="H19" authorId="0">
      <text>
        <r>
          <rPr>
            <b/>
            <sz val="8"/>
            <rFont val="Tahoma"/>
            <family val="2"/>
          </rPr>
          <t xml:space="preserve"> hp:</t>
        </r>
        <r>
          <rPr>
            <sz val="8"/>
            <rFont val="Tahoma"/>
            <family val="2"/>
          </rPr>
          <t xml:space="preserve">
Elle Gierbilirsiniz
</t>
        </r>
      </text>
    </comment>
    <comment ref="K19" authorId="0">
      <text>
        <r>
          <rPr>
            <sz val="8"/>
            <rFont val="Tahoma"/>
            <family val="2"/>
          </rPr>
          <t xml:space="preserve">
ELLE GİRİNİZ</t>
        </r>
      </text>
    </comment>
    <comment ref="H20" authorId="0">
      <text>
        <r>
          <rPr>
            <b/>
            <sz val="8"/>
            <rFont val="Tahoma"/>
            <family val="2"/>
          </rPr>
          <t xml:space="preserve"> hp:</t>
        </r>
        <r>
          <rPr>
            <sz val="8"/>
            <rFont val="Tahoma"/>
            <family val="2"/>
          </rPr>
          <t xml:space="preserve">
Elle Gierbilirsiniz
</t>
        </r>
      </text>
    </comment>
    <comment ref="K20" authorId="0">
      <text>
        <r>
          <rPr>
            <sz val="8"/>
            <rFont val="Tahoma"/>
            <family val="2"/>
          </rPr>
          <t xml:space="preserve">
ELLE GİRİNİZ</t>
        </r>
      </text>
    </comment>
    <comment ref="H21" authorId="0">
      <text>
        <r>
          <rPr>
            <b/>
            <sz val="8"/>
            <rFont val="Tahoma"/>
            <family val="2"/>
          </rPr>
          <t xml:space="preserve"> hp:</t>
        </r>
        <r>
          <rPr>
            <sz val="8"/>
            <rFont val="Tahoma"/>
            <family val="2"/>
          </rPr>
          <t xml:space="preserve">
Elle Gierbilirsiniz
</t>
        </r>
      </text>
    </comment>
    <comment ref="K21" authorId="0">
      <text>
        <r>
          <rPr>
            <sz val="8"/>
            <rFont val="Tahoma"/>
            <family val="2"/>
          </rPr>
          <t xml:space="preserve">
ELLE GİRİNİZ</t>
        </r>
      </text>
    </comment>
    <comment ref="H22" authorId="0">
      <text>
        <r>
          <rPr>
            <b/>
            <sz val="8"/>
            <rFont val="Tahoma"/>
            <family val="2"/>
          </rPr>
          <t xml:space="preserve"> hp:</t>
        </r>
        <r>
          <rPr>
            <sz val="8"/>
            <rFont val="Tahoma"/>
            <family val="2"/>
          </rPr>
          <t xml:space="preserve">
Elle Gierbilirsiniz
</t>
        </r>
      </text>
    </comment>
    <comment ref="K22" authorId="0">
      <text>
        <r>
          <rPr>
            <sz val="8"/>
            <rFont val="Tahoma"/>
            <family val="2"/>
          </rPr>
          <t xml:space="preserve">
ELLE GİRİNİZ</t>
        </r>
      </text>
    </comment>
    <comment ref="H23" authorId="0">
      <text>
        <r>
          <rPr>
            <b/>
            <sz val="8"/>
            <rFont val="Tahoma"/>
            <family val="2"/>
          </rPr>
          <t xml:space="preserve"> hp:</t>
        </r>
        <r>
          <rPr>
            <sz val="8"/>
            <rFont val="Tahoma"/>
            <family val="2"/>
          </rPr>
          <t xml:space="preserve">
Elle Gierbilirsiniz
</t>
        </r>
      </text>
    </comment>
    <comment ref="K23" authorId="0">
      <text>
        <r>
          <rPr>
            <sz val="8"/>
            <rFont val="Tahoma"/>
            <family val="2"/>
          </rPr>
          <t xml:space="preserve">
ELLE GİRİNİZ</t>
        </r>
      </text>
    </comment>
    <comment ref="H24" authorId="0">
      <text>
        <r>
          <rPr>
            <b/>
            <sz val="8"/>
            <rFont val="Tahoma"/>
            <family val="2"/>
          </rPr>
          <t xml:space="preserve"> hp:</t>
        </r>
        <r>
          <rPr>
            <sz val="8"/>
            <rFont val="Tahoma"/>
            <family val="2"/>
          </rPr>
          <t xml:space="preserve">
Elle Gierbilirsiniz
</t>
        </r>
      </text>
    </comment>
    <comment ref="K24" authorId="0">
      <text>
        <r>
          <rPr>
            <sz val="8"/>
            <rFont val="Tahoma"/>
            <family val="2"/>
          </rPr>
          <t xml:space="preserve">
ELLE GİRİNİZ</t>
        </r>
      </text>
    </comment>
    <comment ref="H25" authorId="0">
      <text>
        <r>
          <rPr>
            <b/>
            <sz val="8"/>
            <rFont val="Tahoma"/>
            <family val="2"/>
          </rPr>
          <t xml:space="preserve"> hp:</t>
        </r>
        <r>
          <rPr>
            <sz val="8"/>
            <rFont val="Tahoma"/>
            <family val="2"/>
          </rPr>
          <t xml:space="preserve">
Elle Gierbilirsiniz
</t>
        </r>
      </text>
    </comment>
    <comment ref="K25" authorId="0">
      <text>
        <r>
          <rPr>
            <sz val="8"/>
            <rFont val="Tahoma"/>
            <family val="2"/>
          </rPr>
          <t xml:space="preserve">
ELLE GİRİNİZ</t>
        </r>
      </text>
    </comment>
    <comment ref="H26" authorId="0">
      <text>
        <r>
          <rPr>
            <b/>
            <sz val="8"/>
            <rFont val="Tahoma"/>
            <family val="2"/>
          </rPr>
          <t xml:space="preserve"> hp:</t>
        </r>
        <r>
          <rPr>
            <sz val="8"/>
            <rFont val="Tahoma"/>
            <family val="2"/>
          </rPr>
          <t xml:space="preserve">
Elle Gierbilirsiniz
</t>
        </r>
      </text>
    </comment>
    <comment ref="K26" authorId="0">
      <text>
        <r>
          <rPr>
            <sz val="8"/>
            <rFont val="Tahoma"/>
            <family val="2"/>
          </rPr>
          <t xml:space="preserve">
ELLE GİRİNİZ</t>
        </r>
      </text>
    </comment>
  </commentList>
</comments>
</file>

<file path=xl/sharedStrings.xml><?xml version="1.0" encoding="utf-8"?>
<sst xmlns="http://schemas.openxmlformats.org/spreadsheetml/2006/main" count="354" uniqueCount="286">
  <si>
    <r>
      <t xml:space="preserve"> Asgarî Ücretin Yıllık Brüt Tutarı :                                                                                                                                                                                                                                   </t>
    </r>
    <r>
      <rPr>
        <sz val="12"/>
        <color indexed="10"/>
        <rFont val="Times New Roman"/>
        <family val="1"/>
      </rPr>
      <t xml:space="preserve"> </t>
    </r>
    <r>
      <rPr>
        <sz val="12"/>
        <rFont val="Times New Roman"/>
        <family val="1"/>
      </rPr>
      <t xml:space="preserve">                                                                                                                                                                                                                                                                                                                                                                                                                    </t>
    </r>
  </si>
  <si>
    <t>YTL</t>
  </si>
  <si>
    <t>16 Yaş.Büyükler İçin Günlük Asgari Ücret</t>
  </si>
  <si>
    <t>YILI</t>
  </si>
  <si>
    <t xml:space="preserve">Yararlanılan Asgari Geçimi İndirimi Tutarı (*****) </t>
  </si>
  <si>
    <t>TÜRK EĞİTİM - SEN</t>
  </si>
  <si>
    <t>EĞİTİM - BİR - SEN</t>
  </si>
  <si>
    <t>EĞİTİM - SEN</t>
  </si>
  <si>
    <t>EĞİTİM-İŞ</t>
  </si>
  <si>
    <t xml:space="preserve">TÜRK SAĞLIK - SEN </t>
  </si>
  <si>
    <t>SES</t>
  </si>
  <si>
    <t>SAĞLIK - SEN</t>
  </si>
  <si>
    <t>A2</t>
  </si>
  <si>
    <t>I-DA</t>
  </si>
  <si>
    <t>I-DB</t>
  </si>
  <si>
    <t>I-DC</t>
  </si>
  <si>
    <t>Kefalet</t>
  </si>
  <si>
    <t>Asgeri Geçim İndirimi</t>
  </si>
  <si>
    <t>Bu sütuna, (3) no.lu sütunda yer alan asgari geçim indirimine esas tutarın, Gelir Vergisi Kanununun 103 ncü maddesinde yer alan tarifenin ilk dilimine ait oranın uygulanması ile elde edilen tutarın 12’ ye bölünmesiyle bulunan tutar yazılacaktır.</t>
  </si>
  <si>
    <t xml:space="preserve">*****   </t>
  </si>
  <si>
    <t xml:space="preserve">Bu sütuna, (4) no.lu sütundaki tutarlar yazılacaktır. Mahsup edilecek asgari geçim indirimi tutarı, yıl içinde aylar itibariyle bu sütunlarda izlenecektir. </t>
  </si>
  <si>
    <t>Emekli</t>
  </si>
  <si>
    <t>Asgari Geçim İndirimi</t>
  </si>
  <si>
    <t>Gelir Vergisi İlk Hesaplanan</t>
  </si>
  <si>
    <t>Gelir Vergisi Ödeyeceği Tutar</t>
  </si>
  <si>
    <t>Net Ele GEÇEN</t>
  </si>
  <si>
    <t xml:space="preserve">Emeklilik </t>
  </si>
  <si>
    <t>Hayat</t>
  </si>
  <si>
    <t>Ocak</t>
  </si>
  <si>
    <t>Döner Matrahı</t>
  </si>
  <si>
    <t>Ek Ödeme (375 Say KHK)</t>
  </si>
  <si>
    <t>Ödenekler</t>
  </si>
  <si>
    <t>Tazminatlar</t>
  </si>
  <si>
    <t>TOPLAM</t>
  </si>
  <si>
    <t xml:space="preserve">Bekar </t>
  </si>
  <si>
    <t xml:space="preserve">Çalışıyor </t>
  </si>
  <si>
    <t>Asgari Ücret Günlük</t>
  </si>
  <si>
    <t>Evli</t>
  </si>
  <si>
    <t>Çalışmıyor</t>
  </si>
  <si>
    <t>ASGARİ GEÇİM İNDİRİMİNE AİT BORDRO</t>
  </si>
  <si>
    <t>EK: 2</t>
  </si>
  <si>
    <t>Sıra No</t>
  </si>
  <si>
    <t>Doğum Yardımı</t>
  </si>
  <si>
    <t>Genel Sağlık Siğortası Şahıs % 5</t>
  </si>
  <si>
    <t>Asgari Ücret</t>
  </si>
  <si>
    <t xml:space="preserve">Çocuk Aile Yardımı </t>
  </si>
  <si>
    <t>Sosyal Güvenlik Pirimi</t>
  </si>
  <si>
    <t>Y.DİL TAZMİNATI</t>
  </si>
  <si>
    <t>27/3/2006 tar.ve 29299 veya 23299 sy.R.G.</t>
  </si>
  <si>
    <t>A1 İçin</t>
  </si>
  <si>
    <t>100 -96  Puan</t>
  </si>
  <si>
    <t>A   İçin</t>
  </si>
  <si>
    <t xml:space="preserve">  90 -95  Puan</t>
  </si>
  <si>
    <t>Not:G sütununa  ilgili ay bordrosundaki G.Vergisi matrahı elle girilir.buna göre j sütununda g.vergisi hesaplanır.O sütunu ilgili kişinin aile durumuna göre alacağı asgari g.ind.tutarını hesaplar X sütununda ise ödenmesi gereken Asgari geçim indirimi aylık tutarı karşılaştırılmak suretiyle tespit edilir.( J sütunu ve O sütunu karşılaştırılır)Ag,AH....sütunları hangi dnm.çalışılıyorsa elle yazılır.geçmiş dnm.formülden kurtarılır.</t>
  </si>
  <si>
    <t>Ücretlinin</t>
  </si>
  <si>
    <t>Asgari Geçim İndirimi Oranı (%)</t>
  </si>
  <si>
    <t>Asgari Geçim İndirimine Esas Tutar</t>
  </si>
  <si>
    <t>Aylık Asgari Geçim İndirimi Tutarı [(3.sütun) x  % 15] 12</t>
  </si>
  <si>
    <t>Medeni Hali</t>
  </si>
  <si>
    <t>Eşi Çalışıyormu</t>
  </si>
  <si>
    <t>Çocuk Sayısı</t>
  </si>
  <si>
    <t>İlgili Dönemde Çalışacağı Süre</t>
  </si>
  <si>
    <t>İlgili  Döneme Ait Maaşındaki Vergi Matrahı</t>
  </si>
  <si>
    <t>Sakatlık İndirimi (Varsa)</t>
  </si>
  <si>
    <t>GELİR VERGİSİNE TABİ GELİRİ</t>
  </si>
  <si>
    <t>İlgili Dönemde Kendisinden Kesilen  Gelir Vergisi tutarı</t>
  </si>
  <si>
    <t>16 Yaşından Büyükler İçin Asgari Ücret (Günlük)</t>
  </si>
  <si>
    <t>16 Yaşından Büyükler İçin Asgari Ücret (Yıllık)</t>
  </si>
  <si>
    <t>Asgari Geçim İndiriminin Yıllık Tutarı</t>
  </si>
  <si>
    <t>Hesaplanan Yıllık Tutarın 1/12 si</t>
  </si>
  <si>
    <t>İlgili Dönemde Mükellefin (Çalışanın) Ödeyeceği Vergi Tutarı</t>
  </si>
  <si>
    <t>Çalışan Personel İçin</t>
  </si>
  <si>
    <t>Eşi İçin</t>
  </si>
  <si>
    <t>1.Çocuk</t>
  </si>
  <si>
    <t>2.Çocuk</t>
  </si>
  <si>
    <t>3.Çocuk</t>
  </si>
  <si>
    <t>4.Çocuk</t>
  </si>
  <si>
    <t>TOPLAM İnd.Oranı</t>
  </si>
  <si>
    <t>Ödenecek İndirim Tutarı</t>
  </si>
  <si>
    <t>(**)</t>
  </si>
  <si>
    <t xml:space="preserve"> (***)</t>
  </si>
  <si>
    <t xml:space="preserve">(****) </t>
  </si>
  <si>
    <t>Toplam</t>
  </si>
  <si>
    <t xml:space="preserve">Not     : </t>
  </si>
  <si>
    <t xml:space="preserve"> Bu bordro, işverenlerce yukarıdaki muhteviyatına uygun olarak çoğaltılıp kullanılabilecektir. Her yıl için ayrı bordro düzenlenecektir.</t>
  </si>
  <si>
    <t xml:space="preserve">*         </t>
  </si>
  <si>
    <t xml:space="preserve">Ücretin elde edildiği takvim yılı başında geçerli olan ve sanayi kesiminde çalışan 16 yaşından büyük işçiler için uygulanan asgarî ücretin yıllık brüt tutarı yazılacaktır. </t>
  </si>
  <si>
    <t xml:space="preserve">**       </t>
  </si>
  <si>
    <t>Asgari ücretin yıllık brüt tutarının; mükellefin kendisi için % 50'si, çalışmayan ve herhangi bir geliri olmayan eşi için % 10'u, ilk iki çocuk için % 7,5, diğer çocuklar için % 5' idir.</t>
  </si>
  <si>
    <t>***</t>
  </si>
  <si>
    <t>Ücretin elde edildiği takvim yılı başında geçerli olan asgarî ücretin yıllık brüt tutarının asgari geçim indirimi oranı ile çarpılması sonucu elde edilen tutar bu sütuna yazılacaktır</t>
  </si>
  <si>
    <t>Personeli Adı Soyadı</t>
  </si>
  <si>
    <t>Kadro Yeri</t>
  </si>
  <si>
    <t>Personel Durumu</t>
  </si>
  <si>
    <t>Maaş Durumu</t>
  </si>
  <si>
    <t>Normal Dönem</t>
  </si>
  <si>
    <t>Kıst Dönem</t>
  </si>
  <si>
    <t>Maaş Başlangıç Tarihi</t>
  </si>
  <si>
    <t>Maaş Bitiş Tarihi</t>
  </si>
  <si>
    <t>Maaş Ödeme Gün Sayısı</t>
  </si>
  <si>
    <t>Katsayılar</t>
  </si>
  <si>
    <t>Bilgi Girişi</t>
  </si>
  <si>
    <t>Tek Kişilik</t>
  </si>
  <si>
    <t>B   İçin</t>
  </si>
  <si>
    <t xml:space="preserve">  80 -89  Puan </t>
  </si>
  <si>
    <t>D</t>
  </si>
  <si>
    <t>C   İçin</t>
  </si>
  <si>
    <t xml:space="preserve">  70 -79 Puan</t>
  </si>
  <si>
    <t xml:space="preserve">E </t>
  </si>
  <si>
    <t>A1</t>
  </si>
  <si>
    <t>Akademik Personel İçin</t>
  </si>
  <si>
    <t>01</t>
  </si>
  <si>
    <t>Maaş Katsayısı</t>
  </si>
  <si>
    <t>Çocuk</t>
  </si>
  <si>
    <t>Aile Yardımı</t>
  </si>
  <si>
    <t>Evet</t>
  </si>
  <si>
    <t>Yabancı Dil Taz</t>
  </si>
  <si>
    <t>VERGİ</t>
  </si>
  <si>
    <t>Oranı %</t>
  </si>
  <si>
    <t>Damga Vergisi Oranı</t>
  </si>
  <si>
    <t>Gelir Vergisi Oranı Başlangıç Oranı</t>
  </si>
  <si>
    <t xml:space="preserve"> Kendisi İçin  Asgari Geçim İnd.Oranı</t>
  </si>
  <si>
    <t>Asgari Ücret Taban  (Günlük)</t>
  </si>
  <si>
    <t xml:space="preserve"> Eşi  İçin  Asgari Göçim İnd.Oranı</t>
  </si>
  <si>
    <t>Asgari Ücret Tavan (Günlük)</t>
  </si>
  <si>
    <t xml:space="preserve"> 1.Çocuk  İçin  Asgari Geçim İnd.Oranı</t>
  </si>
  <si>
    <t xml:space="preserve"> 2.Çocuk  İçin  Asgari Geçim İnd.Oranı</t>
  </si>
  <si>
    <t xml:space="preserve"> 3.Çocuk  İçin  Asgari Geçim İnd.Oranı</t>
  </si>
  <si>
    <t xml:space="preserve"> 4.Çocuk  İçin  Asgari Geçim İnd.Oranı</t>
  </si>
  <si>
    <t xml:space="preserve"> 5.Çocuk  İçin  Asgari Geçim İnd.Oranı</t>
  </si>
  <si>
    <t>1.Derece</t>
  </si>
  <si>
    <t>TL</t>
  </si>
  <si>
    <t>2.Derece</t>
  </si>
  <si>
    <t>3.Derece</t>
  </si>
  <si>
    <t>%</t>
  </si>
  <si>
    <t>Adı Soyadı</t>
  </si>
  <si>
    <t>Mustafa İŞBİLİR</t>
  </si>
  <si>
    <t>Şubat</t>
  </si>
  <si>
    <t>Mart</t>
  </si>
  <si>
    <t>Nisan</t>
  </si>
  <si>
    <t>Mayıs</t>
  </si>
  <si>
    <t>Haziran</t>
  </si>
  <si>
    <t>Temmuz</t>
  </si>
  <si>
    <t>Ağustos</t>
  </si>
  <si>
    <t>Eylül</t>
  </si>
  <si>
    <t>Ekim</t>
  </si>
  <si>
    <t>Kasım</t>
  </si>
  <si>
    <t>Aralık</t>
  </si>
  <si>
    <t xml:space="preserve">****      </t>
  </si>
  <si>
    <t>Kefalet Giriş</t>
  </si>
  <si>
    <t>Kefalet Normal</t>
  </si>
  <si>
    <t>01/10/2008 den Önceki  Akademik  Personel+Normal Dönem</t>
  </si>
  <si>
    <t>Evli Eşi Çalışıyor</t>
  </si>
  <si>
    <t>Evli Eşi ÇALIŞMIYOR</t>
  </si>
  <si>
    <t>Dul</t>
  </si>
  <si>
    <t>Bekar</t>
  </si>
  <si>
    <t>Yeni</t>
  </si>
  <si>
    <t>Eski</t>
  </si>
  <si>
    <t>Fark</t>
  </si>
  <si>
    <t>HAYIR</t>
  </si>
  <si>
    <t>İdari Personel</t>
  </si>
  <si>
    <t>Akademik Personel</t>
  </si>
  <si>
    <t>B</t>
  </si>
  <si>
    <t>C</t>
  </si>
  <si>
    <t>Sendika Yardımı</t>
  </si>
  <si>
    <t>Personelin Adı Soyadı</t>
  </si>
  <si>
    <t>Birimi</t>
  </si>
  <si>
    <t>Dönem</t>
  </si>
  <si>
    <t>Gün</t>
  </si>
  <si>
    <t>Sendika Yardımı  TL</t>
  </si>
  <si>
    <t>Gelirler TOPLAMI</t>
  </si>
  <si>
    <t xml:space="preserve">Hakedişler </t>
  </si>
  <si>
    <t>Kesintiler</t>
  </si>
  <si>
    <t>Damga Verisi Matrahı</t>
  </si>
  <si>
    <t>Gelir Vergisi Matrahı</t>
  </si>
  <si>
    <t>Taahütlü İcra Kesintisi</t>
  </si>
  <si>
    <t>Normal İcra Kesinti Matrahı</t>
  </si>
  <si>
    <t>Normal İcra Kesintisi</t>
  </si>
  <si>
    <t>Caza  Kesintisi Tutarı</t>
  </si>
  <si>
    <t>Sendika Kesintisi</t>
  </si>
  <si>
    <t>Kesintiler Toplamı</t>
  </si>
  <si>
    <t>Damga Verisi</t>
  </si>
  <si>
    <t>Sendika Kesinti Oranı</t>
  </si>
  <si>
    <t>Maaş Dönemi</t>
  </si>
  <si>
    <t>Özel Kesinti /  Kişi Borcu</t>
  </si>
  <si>
    <t>Malüllük Yaşlılık Sigortası Şahıs %9</t>
  </si>
  <si>
    <t>Eski Vergi MatrahToplamı</t>
  </si>
  <si>
    <t>Bu Ay Dahil Toplam Vergi Matrahı</t>
  </si>
  <si>
    <t>Maaş Bilgileri</t>
  </si>
  <si>
    <t>Sosyal Haklar</t>
  </si>
  <si>
    <t>Toplam Puan</t>
  </si>
  <si>
    <t>Adı soyadı</t>
  </si>
  <si>
    <t>Adı</t>
  </si>
  <si>
    <t>Soyadı</t>
  </si>
  <si>
    <t>Öğrenim Durumu</t>
  </si>
  <si>
    <t>T.C Kimlik No</t>
  </si>
  <si>
    <t>Banka Adı</t>
  </si>
  <si>
    <t>Banka Şube Kodu</t>
  </si>
  <si>
    <t>Hesap Nosu</t>
  </si>
  <si>
    <t>Günlük Yevmiyesi</t>
  </si>
  <si>
    <t>Eş Durumu</t>
  </si>
  <si>
    <t>Çocuk  Sayısı</t>
  </si>
  <si>
    <t>Doğum Tar</t>
  </si>
  <si>
    <t>Geçen Süre ay</t>
  </si>
  <si>
    <t>Puanı</t>
  </si>
  <si>
    <t>İban No</t>
  </si>
  <si>
    <t>Sendika Kesinti Evet/Hayır</t>
  </si>
  <si>
    <t>Halen Devam Eden Sendika Üyelik Tarihi</t>
  </si>
  <si>
    <t>Halen Devam Eden Sendika Üye No</t>
  </si>
  <si>
    <t>Halen Devam Eden Sendika Adı</t>
  </si>
  <si>
    <t>Ayrıldığı Sendika ayrılış Tarihi</t>
  </si>
  <si>
    <t>Ayrıldığı Sendika Üye No</t>
  </si>
  <si>
    <t>Ayrıldığı Sendika Adı</t>
  </si>
  <si>
    <t>İşe Başlama Tarihi</t>
  </si>
  <si>
    <t>İşten Ayrılma Tarihi</t>
  </si>
  <si>
    <t>Sakatlık İndirimi</t>
  </si>
  <si>
    <t>Sakatlık İndirimiDerecesi</t>
  </si>
  <si>
    <t>Sakatlık İndirimi Belge No / Tarih</t>
  </si>
  <si>
    <t>Giriş</t>
  </si>
  <si>
    <t>Normal</t>
  </si>
  <si>
    <t>Kurum Sicil No</t>
  </si>
  <si>
    <t>Cinsiyeti</t>
  </si>
  <si>
    <t>Hayır</t>
  </si>
  <si>
    <t>Evli Eşi Çalışmıyor</t>
  </si>
  <si>
    <t xml:space="preserve">Prime Esas Tutar </t>
  </si>
  <si>
    <t>Ücret Toplamı</t>
  </si>
  <si>
    <t>Ek Ödeme (Toplu Sözleşme)</t>
  </si>
  <si>
    <t>Ek Ödemeden Yaralanıyormu(375)</t>
  </si>
  <si>
    <t>Ek Ödemeden Yaralanıyorsa Oranı (375)</t>
  </si>
  <si>
    <t>Malüllük Yaşlılık Sigortası İşveren His. %</t>
  </si>
  <si>
    <t>Malüllük Yaşlılık Sigortası Şahıs His. %</t>
  </si>
  <si>
    <t>Genel Sağlık Sigortası İşveren His.%</t>
  </si>
  <si>
    <t>Genel Sağlık Sigortası Şahıs His.%</t>
  </si>
  <si>
    <t xml:space="preserve">Sağlık.S.Primi % 7,5 Devlet Katkısı </t>
  </si>
  <si>
    <t xml:space="preserve">Malüllük Yaşlılık Devlet Kat. % 11 </t>
  </si>
  <si>
    <t>İş Kazası M.Hast (Kısa Vad.Sig.Koll.) Dev Kat % 2</t>
  </si>
  <si>
    <t>İş Kazası M.Hast (Kısa Vad.Sig.Koll.) Dev Kat %</t>
  </si>
  <si>
    <t>Gelir Vergisi Oranı %</t>
  </si>
  <si>
    <t>Personel Ücretleri</t>
  </si>
  <si>
    <t>Sosyal Güvenlik Pirmi Ödemeleri</t>
  </si>
  <si>
    <t>TC No</t>
  </si>
  <si>
    <t>Aile Durumu</t>
  </si>
  <si>
    <t>Çocuk Yardımı Toplam Puanı</t>
  </si>
  <si>
    <t>Çalışılan Gün</t>
  </si>
  <si>
    <t>Raporlu Gün</t>
  </si>
  <si>
    <t>Toplam Gün</t>
  </si>
  <si>
    <t>Tel No</t>
  </si>
  <si>
    <t>657 4 / c</t>
  </si>
  <si>
    <t>Normal Kefalet Tutarı</t>
  </si>
  <si>
    <t>Çocuk Puanı  Tamamı</t>
  </si>
  <si>
    <t>Ek Ödeme Toplu Sözl Puan</t>
  </si>
  <si>
    <t>Ek Ödeme Toplu Sözleşme Puan</t>
  </si>
  <si>
    <t>Prime Esas Kazanç</t>
  </si>
  <si>
    <t>2017 Yılı Ocak</t>
  </si>
  <si>
    <t xml:space="preserve">2017  Yılı Gelir Vergi Oranları </t>
  </si>
  <si>
    <t>BES (Bireysel  Emeklilik Sistemi)</t>
  </si>
  <si>
    <t>BES Banka</t>
  </si>
  <si>
    <t>Doğum Tarihi</t>
  </si>
  <si>
    <t>BES Oranı %</t>
  </si>
  <si>
    <t>Sakatlık İndiriminden Yararlanan Sayısı</t>
  </si>
  <si>
    <t>Sakatlık İndirimi  Yararlanan Sayısı</t>
  </si>
  <si>
    <t>Sakatlık İndirimi (Bilgi İçin)</t>
  </si>
  <si>
    <t>Sakatlık İndirimi  Tutarı</t>
  </si>
  <si>
    <t xml:space="preserve">PERSONELE AİT  BİLGİLER  </t>
  </si>
  <si>
    <t>İstisna Çocuk Sayısı</t>
  </si>
  <si>
    <t>Herbir Çocuk İçin Çocuk Parası Puanı</t>
  </si>
  <si>
    <t>Katsayı</t>
  </si>
  <si>
    <t>Ödenen Çocuk Parası</t>
  </si>
  <si>
    <t>İstisnaya Tabi Çocuk Parası</t>
  </si>
  <si>
    <t>İstisna Tutarı</t>
  </si>
  <si>
    <t>İstisna Dışı Çocuk Parası</t>
  </si>
  <si>
    <t>İstisnaya Tabi Çocuk Parası Farkı</t>
  </si>
  <si>
    <t>Aile Yardımı Puanı</t>
  </si>
  <si>
    <t>Aile Yardmı Tutarı</t>
  </si>
  <si>
    <t>İstisna Oranı %20</t>
  </si>
  <si>
    <t>Aile durumu</t>
  </si>
  <si>
    <t>Yeni Sözleşme ücreti</t>
  </si>
  <si>
    <t>Şu Anki  Sözleşme ücreti</t>
  </si>
  <si>
    <t>Ek Ödeme Alıyormu (375 S KHK)</t>
  </si>
  <si>
    <t>Maaş Ödeme Dönemi</t>
  </si>
  <si>
    <t>A.K.Ü İMİD/Tahakkuk 2017</t>
  </si>
  <si>
    <t>ABC</t>
  </si>
  <si>
    <t>… Gelir Müd  …/tarh ve Sayılı</t>
  </si>
  <si>
    <t>ÖRNEK</t>
  </si>
  <si>
    <t>KİŞİ</t>
  </si>
  <si>
    <t>ÖRNEK KİŞİ</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</si>
</sst>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dd/mm/yy"/>
    <numFmt numFmtId="189" formatCode="#,##0;[Red]#,##0"/>
    <numFmt numFmtId="190" formatCode="#,##0.00;[Red]#,##0.00"/>
    <numFmt numFmtId="191" formatCode="#,##0.00_ ;[Red]\-#,##0.00\ "/>
    <numFmt numFmtId="192" formatCode="#,##0.000"/>
    <numFmt numFmtId="193" formatCode="#,##0.0000"/>
    <numFmt numFmtId="194" formatCode="#,##0.000000"/>
    <numFmt numFmtId="195" formatCode="#,##0.00000"/>
    <numFmt numFmtId="196" formatCode="[$-41F]dd\ mmmm\ yyyy\ dddd"/>
    <numFmt numFmtId="197" formatCode="&quot;Evet&quot;;&quot;Evet&quot;;&quot;Hayır&quot;"/>
    <numFmt numFmtId="198" formatCode="&quot;Doğru&quot;;&quot;Doğru&quot;;&quot;Yanlış&quot;"/>
    <numFmt numFmtId="199" formatCode="&quot;Açık&quot;;&quot;Açık&quot;;&quot;Kapalı&quot;"/>
    <numFmt numFmtId="200" formatCode="#,##0.0"/>
    <numFmt numFmtId="201" formatCode="#\ ?/4"/>
    <numFmt numFmtId="202" formatCode="#\ ?/8"/>
    <numFmt numFmtId="203" formatCode="00000"/>
    <numFmt numFmtId="204" formatCode="00"/>
    <numFmt numFmtId="205" formatCode="[$-41F]mmmm\ yy;@"/>
    <numFmt numFmtId="206" formatCode="#,##0_);\(#,##0\)"/>
    <numFmt numFmtId="207" formatCode="[$-41F]mmmmm;@"/>
    <numFmt numFmtId="208" formatCode="[$-41F]d\ mmmm;@"/>
    <numFmt numFmtId="209" formatCode="[$-41F]d\ mmmm\ yy;@"/>
    <numFmt numFmtId="210" formatCode="[$-41F]d\ mmmm\ yyyy;@"/>
    <numFmt numFmtId="211" formatCode="dd/mm/yyyy;@"/>
  </numFmts>
  <fonts count="124">
    <font>
      <sz val="10"/>
      <name val="Arial"/>
      <family val="0"/>
    </font>
    <font>
      <b/>
      <sz val="10"/>
      <name val="Arial"/>
      <family val="2"/>
    </font>
    <font>
      <b/>
      <sz val="10"/>
      <color indexed="10"/>
      <name val="Arial"/>
      <family val="2"/>
    </font>
    <font>
      <sz val="10"/>
      <color indexed="10"/>
      <name val="Arial"/>
      <family val="2"/>
    </font>
    <font>
      <b/>
      <sz val="12"/>
      <name val="Arial"/>
      <family val="2"/>
    </font>
    <font>
      <b/>
      <sz val="12"/>
      <color indexed="8"/>
      <name val="Arial Tur"/>
      <family val="2"/>
    </font>
    <font>
      <b/>
      <sz val="12"/>
      <name val="Comic Sans MS"/>
      <family val="4"/>
    </font>
    <font>
      <sz val="8"/>
      <name val="Arial"/>
      <family val="2"/>
    </font>
    <font>
      <sz val="10"/>
      <color indexed="9"/>
      <name val="Arial"/>
      <family val="2"/>
    </font>
    <font>
      <b/>
      <sz val="18"/>
      <name val="Arial"/>
      <family val="2"/>
    </font>
    <font>
      <b/>
      <sz val="22"/>
      <color indexed="10"/>
      <name val="Arial"/>
      <family val="2"/>
    </font>
    <font>
      <b/>
      <sz val="10"/>
      <name val="Arial Tur"/>
      <family val="0"/>
    </font>
    <font>
      <sz val="9"/>
      <color indexed="10"/>
      <name val="Arial Tur"/>
      <family val="0"/>
    </font>
    <font>
      <sz val="10"/>
      <color indexed="10"/>
      <name val="Arial Tur"/>
      <family val="0"/>
    </font>
    <font>
      <sz val="10"/>
      <color indexed="12"/>
      <name val="Arial Tur"/>
      <family val="0"/>
    </font>
    <font>
      <sz val="8"/>
      <color indexed="12"/>
      <name val="Arial"/>
      <family val="2"/>
    </font>
    <font>
      <u val="single"/>
      <sz val="10"/>
      <color indexed="12"/>
      <name val="Arial Tur"/>
      <family val="0"/>
    </font>
    <font>
      <sz val="8"/>
      <name val="Times New Roman"/>
      <family val="1"/>
    </font>
    <font>
      <sz val="10"/>
      <name val="Times New Roman"/>
      <family val="1"/>
    </font>
    <font>
      <sz val="10"/>
      <name val="Arial Tur"/>
      <family val="0"/>
    </font>
    <font>
      <b/>
      <sz val="14"/>
      <name val="Arial"/>
      <family val="2"/>
    </font>
    <font>
      <b/>
      <sz val="11"/>
      <name val="Arial"/>
      <family val="2"/>
    </font>
    <font>
      <sz val="12"/>
      <name val="Times New Roman"/>
      <family val="1"/>
    </font>
    <font>
      <b/>
      <sz val="9"/>
      <name val="Arial"/>
      <family val="2"/>
    </font>
    <font>
      <sz val="9"/>
      <name val="Arial TUR"/>
      <family val="0"/>
    </font>
    <font>
      <b/>
      <sz val="10"/>
      <name val="Comic Sans MS"/>
      <family val="4"/>
    </font>
    <font>
      <sz val="9"/>
      <name val="Tahoma"/>
      <family val="2"/>
    </font>
    <font>
      <b/>
      <sz val="12"/>
      <color indexed="10"/>
      <name val="Comic Sans MS"/>
      <family val="4"/>
    </font>
    <font>
      <b/>
      <sz val="12"/>
      <color indexed="12"/>
      <name val="Comic Sans MS"/>
      <family val="4"/>
    </font>
    <font>
      <sz val="14"/>
      <name val="Arial"/>
      <family val="2"/>
    </font>
    <font>
      <b/>
      <sz val="12"/>
      <color indexed="10"/>
      <name val="Arial"/>
      <family val="2"/>
    </font>
    <font>
      <b/>
      <sz val="14"/>
      <color indexed="12"/>
      <name val="Arial"/>
      <family val="2"/>
    </font>
    <font>
      <b/>
      <sz val="8"/>
      <name val="Arial"/>
      <family val="2"/>
    </font>
    <font>
      <sz val="11"/>
      <name val="Arial"/>
      <family val="2"/>
    </font>
    <font>
      <sz val="11"/>
      <color indexed="10"/>
      <name val="Arial"/>
      <family val="2"/>
    </font>
    <font>
      <sz val="12"/>
      <name val="Arial"/>
      <family val="2"/>
    </font>
    <font>
      <sz val="10"/>
      <color indexed="12"/>
      <name val="Arial"/>
      <family val="2"/>
    </font>
    <font>
      <sz val="11"/>
      <color indexed="12"/>
      <name val="Arial Tur"/>
      <family val="2"/>
    </font>
    <font>
      <sz val="10"/>
      <name val="Arial TUR"/>
      <family val="0"/>
    </font>
    <font>
      <b/>
      <sz val="8"/>
      <name val="Arial Tur"/>
      <family val="0"/>
    </font>
    <font>
      <sz val="12"/>
      <name val="Arial Tur"/>
      <family val="0"/>
    </font>
    <font>
      <sz val="12"/>
      <color indexed="10"/>
      <name val="Times New Roman"/>
      <family val="1"/>
    </font>
    <font>
      <sz val="8"/>
      <name val="Arial Tur"/>
      <family val="0"/>
    </font>
    <font>
      <sz val="5"/>
      <name val="Times New Roman"/>
      <family val="1"/>
    </font>
    <font>
      <sz val="4"/>
      <name val="Times New Roman"/>
      <family val="1"/>
    </font>
    <font>
      <b/>
      <sz val="8"/>
      <name val="Tahoma"/>
      <family val="2"/>
    </font>
    <font>
      <sz val="8"/>
      <name val="Tahoma"/>
      <family val="2"/>
    </font>
    <font>
      <b/>
      <sz val="14"/>
      <color indexed="10"/>
      <name val="Arial"/>
      <family val="2"/>
    </font>
    <font>
      <b/>
      <sz val="12"/>
      <color indexed="12"/>
      <name val="Arial"/>
      <family val="2"/>
    </font>
    <font>
      <sz val="12"/>
      <color indexed="12"/>
      <name val="Arial"/>
      <family val="2"/>
    </font>
    <font>
      <sz val="14"/>
      <color indexed="10"/>
      <name val="Arial"/>
      <family val="2"/>
    </font>
    <font>
      <u val="single"/>
      <sz val="10"/>
      <color indexed="36"/>
      <name val="Arial"/>
      <family val="2"/>
    </font>
    <font>
      <u val="single"/>
      <sz val="10"/>
      <name val="Arial Tur"/>
      <family val="0"/>
    </font>
    <font>
      <u val="single"/>
      <sz val="14"/>
      <color indexed="12"/>
      <name val="Arial Tur"/>
      <family val="0"/>
    </font>
    <font>
      <sz val="11"/>
      <color indexed="60"/>
      <name val="Calibri"/>
      <family val="2"/>
    </font>
    <font>
      <sz val="10"/>
      <name val="Comic Sans MS"/>
      <family val="4"/>
    </font>
    <font>
      <sz val="12"/>
      <name val="Comic Sans MS"/>
      <family val="4"/>
    </font>
    <font>
      <b/>
      <sz val="11"/>
      <color indexed="12"/>
      <name val="Arial"/>
      <family val="2"/>
    </font>
    <font>
      <b/>
      <sz val="9"/>
      <name val="Tahoma"/>
      <family val="2"/>
    </font>
    <font>
      <b/>
      <sz val="10"/>
      <color indexed="12"/>
      <name val="Arial Tur"/>
      <family val="0"/>
    </font>
    <font>
      <b/>
      <sz val="11"/>
      <color indexed="12"/>
      <name val="Arial Tur"/>
      <family val="0"/>
    </font>
    <font>
      <b/>
      <sz val="9"/>
      <color indexed="10"/>
      <name val="Arial Tur"/>
      <family val="0"/>
    </font>
    <font>
      <b/>
      <sz val="9"/>
      <color indexed="12"/>
      <name val="Arial Tur"/>
      <family val="0"/>
    </font>
    <font>
      <sz val="14"/>
      <color indexed="10"/>
      <name val="Courier"/>
      <family val="1"/>
    </font>
    <font>
      <b/>
      <sz val="12"/>
      <name val="Arial Tur"/>
      <family val="0"/>
    </font>
    <font>
      <sz val="9"/>
      <color indexed="48"/>
      <name val="Comic Sans MS"/>
      <family val="4"/>
    </font>
    <font>
      <b/>
      <sz val="11"/>
      <name val="Arial Tur"/>
      <family val="0"/>
    </font>
    <font>
      <sz val="9"/>
      <name val="Comic Sans MS"/>
      <family val="4"/>
    </font>
    <font>
      <sz val="9"/>
      <name val="Courier"/>
      <family val="1"/>
    </font>
    <font>
      <sz val="9"/>
      <color indexed="10"/>
      <name val="Comic Sans MS"/>
      <family val="4"/>
    </font>
    <font>
      <b/>
      <sz val="9"/>
      <color indexed="10"/>
      <name val="Comic Sans MS"/>
      <family val="4"/>
    </font>
    <font>
      <sz val="9"/>
      <color indexed="12"/>
      <name val="Comic Sans MS"/>
      <family val="4"/>
    </font>
    <font>
      <sz val="11"/>
      <name val="Comic Sans MS"/>
      <family val="4"/>
    </font>
    <font>
      <sz val="9"/>
      <name val="Arial Tur"/>
      <family val="0"/>
    </font>
    <font>
      <sz val="14"/>
      <name val="Courier"/>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b/>
      <sz val="11"/>
      <color indexed="8"/>
      <name val="Calibri"/>
      <family val="2"/>
    </font>
    <font>
      <sz val="11"/>
      <color indexed="10"/>
      <name val="Calibri"/>
      <family val="2"/>
    </font>
    <font>
      <sz val="9"/>
      <color indexed="8"/>
      <name val="Calibri"/>
      <family val="2"/>
    </font>
    <font>
      <sz val="10"/>
      <color indexed="10"/>
      <name val="Calibri"/>
      <family val="2"/>
    </font>
    <font>
      <sz val="8"/>
      <name val="Calibri"/>
      <family val="2"/>
    </font>
    <font>
      <sz val="20"/>
      <color indexed="10"/>
      <name val="Arial"/>
      <family val="2"/>
    </font>
    <font>
      <sz val="16"/>
      <color indexed="10"/>
      <name val="Arial"/>
      <family val="2"/>
    </font>
    <font>
      <sz val="16"/>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b/>
      <sz val="11"/>
      <color theme="1"/>
      <name val="Calibri"/>
      <family val="2"/>
    </font>
    <font>
      <sz val="11"/>
      <color rgb="FFFF0000"/>
      <name val="Calibri"/>
      <family val="2"/>
    </font>
    <font>
      <sz val="10"/>
      <color rgb="FFFF0000"/>
      <name val="Arial"/>
      <family val="2"/>
    </font>
    <font>
      <sz val="9"/>
      <color theme="1"/>
      <name val="Calibri"/>
      <family val="2"/>
    </font>
    <font>
      <sz val="10"/>
      <color rgb="FFFF0000"/>
      <name val="Calibri"/>
      <family val="2"/>
    </font>
    <font>
      <sz val="10"/>
      <color theme="0"/>
      <name val="Arial"/>
      <family val="2"/>
    </font>
    <font>
      <sz val="20"/>
      <color rgb="FFFF0000"/>
      <name val="Arial"/>
      <family val="2"/>
    </font>
    <font>
      <sz val="14"/>
      <color rgb="FFFF0000"/>
      <name val="Arial"/>
      <family val="2"/>
    </font>
    <font>
      <b/>
      <sz val="12"/>
      <color rgb="FFFF0000"/>
      <name val="Comic Sans MS"/>
      <family val="4"/>
    </font>
    <font>
      <b/>
      <sz val="14"/>
      <color rgb="FFFF0000"/>
      <name val="Arial"/>
      <family val="2"/>
    </font>
    <font>
      <sz val="16"/>
      <color rgb="FFFF0000"/>
      <name val="Arial"/>
      <family val="2"/>
    </font>
    <font>
      <b/>
      <sz val="12"/>
      <color rgb="FFFF0000"/>
      <name val="Arial"/>
      <family val="2"/>
    </font>
    <font>
      <sz val="16"/>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theme="0"/>
        <bgColor indexed="64"/>
      </patternFill>
    </fill>
    <fill>
      <patternFill patternType="solid">
        <fgColor indexed="11"/>
        <bgColor indexed="64"/>
      </patternFill>
    </fill>
    <fill>
      <patternFill patternType="solid">
        <fgColor indexed="46"/>
        <bgColor indexed="64"/>
      </patternFill>
    </fill>
    <fill>
      <patternFill patternType="solid">
        <fgColor rgb="FFFFFF00"/>
        <bgColor indexed="64"/>
      </patternFill>
    </fill>
    <fill>
      <patternFill patternType="solid">
        <fgColor indexed="41"/>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style="medium"/>
    </border>
    <border>
      <left>
        <color indexed="63"/>
      </left>
      <right style="medium">
        <color indexed="8"/>
      </right>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dotted"/>
      <top>
        <color indexed="63"/>
      </top>
      <bottom style="dotted"/>
    </border>
    <border>
      <left>
        <color indexed="63"/>
      </left>
      <right style="dotted"/>
      <top>
        <color indexed="63"/>
      </top>
      <bottom>
        <color indexed="63"/>
      </bottom>
    </border>
    <border>
      <left style="thin"/>
      <right style="thin"/>
      <top style="thin"/>
      <bottom>
        <color indexed="63"/>
      </bottom>
    </border>
    <border>
      <left style="thin"/>
      <right style="thin"/>
      <top>
        <color indexed="63"/>
      </top>
      <bottom style="thin"/>
    </border>
    <border>
      <left style="dotted"/>
      <right style="dotted"/>
      <top>
        <color indexed="63"/>
      </top>
      <bottom style="dotted"/>
    </border>
    <border>
      <left>
        <color indexed="63"/>
      </left>
      <right style="thin"/>
      <top style="thin"/>
      <bottom style="thin"/>
    </border>
    <border>
      <left style="medium"/>
      <right>
        <color indexed="63"/>
      </right>
      <top style="medium"/>
      <bottom style="medium"/>
    </border>
    <border>
      <left>
        <color indexed="63"/>
      </left>
      <right style="medium">
        <color indexed="8"/>
      </right>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1" applyNumberFormat="0" applyFill="0" applyAlignment="0" applyProtection="0"/>
    <xf numFmtId="0" fontId="102" fillId="0" borderId="2" applyNumberFormat="0" applyFill="0" applyAlignment="0" applyProtection="0"/>
    <xf numFmtId="0" fontId="103" fillId="0" borderId="3" applyNumberFormat="0" applyFill="0" applyAlignment="0" applyProtection="0"/>
    <xf numFmtId="0" fontId="104" fillId="0" borderId="4" applyNumberFormat="0" applyFill="0" applyAlignment="0" applyProtection="0"/>
    <xf numFmtId="0" fontId="104" fillId="0" borderId="0" applyNumberFormat="0" applyFill="0" applyBorder="0" applyAlignment="0" applyProtection="0"/>
    <xf numFmtId="177" fontId="0" fillId="0" borderId="0" applyFont="0" applyFill="0" applyBorder="0" applyAlignment="0" applyProtection="0"/>
    <xf numFmtId="0" fontId="105" fillId="20" borderId="5" applyNumberFormat="0" applyAlignment="0" applyProtection="0"/>
    <xf numFmtId="0" fontId="106" fillId="21" borderId="6" applyNumberFormat="0" applyAlignment="0" applyProtection="0"/>
    <xf numFmtId="0" fontId="107" fillId="20" borderId="6" applyNumberFormat="0" applyAlignment="0" applyProtection="0"/>
    <xf numFmtId="0" fontId="108" fillId="22" borderId="7" applyNumberFormat="0" applyAlignment="0" applyProtection="0"/>
    <xf numFmtId="0" fontId="109" fillId="23" borderId="0" applyNumberFormat="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10" fillId="24" borderId="0" applyNumberFormat="0" applyBorder="0" applyAlignment="0" applyProtection="0"/>
    <xf numFmtId="0" fontId="0" fillId="25" borderId="8" applyNumberFormat="0" applyFont="0" applyAlignment="0" applyProtection="0"/>
    <xf numFmtId="0" fontId="5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179" fontId="0" fillId="0" borderId="0" applyFont="0" applyFill="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8" fillId="32" borderId="0" applyNumberFormat="0" applyBorder="0" applyAlignment="0" applyProtection="0"/>
    <xf numFmtId="9" fontId="0" fillId="0" borderId="0" applyFont="0" applyFill="0" applyBorder="0" applyAlignment="0" applyProtection="0"/>
  </cellStyleXfs>
  <cellXfs count="524">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0" fontId="38" fillId="33" borderId="11" xfId="0" applyFont="1" applyFill="1" applyBorder="1" applyAlignment="1" applyProtection="1">
      <alignment/>
      <protection hidden="1"/>
    </xf>
    <xf numFmtId="0" fontId="38" fillId="33" borderId="12" xfId="0" applyFont="1" applyFill="1" applyBorder="1" applyAlignment="1" applyProtection="1">
      <alignment/>
      <protection hidden="1"/>
    </xf>
    <xf numFmtId="0" fontId="38" fillId="33" borderId="13" xfId="0" applyFont="1" applyFill="1" applyBorder="1" applyAlignment="1" applyProtection="1">
      <alignment/>
      <protection hidden="1"/>
    </xf>
    <xf numFmtId="0" fontId="24" fillId="33" borderId="12" xfId="0" applyFont="1" applyFill="1" applyBorder="1" applyAlignment="1" applyProtection="1">
      <alignment/>
      <protection hidden="1"/>
    </xf>
    <xf numFmtId="0" fontId="38" fillId="33" borderId="11" xfId="0" applyFont="1" applyFill="1" applyBorder="1" applyAlignment="1" applyProtection="1">
      <alignment/>
      <protection hidden="1"/>
    </xf>
    <xf numFmtId="0" fontId="38" fillId="33" borderId="14" xfId="0" applyFont="1" applyFill="1" applyBorder="1" applyAlignment="1" applyProtection="1">
      <alignment/>
      <protection hidden="1"/>
    </xf>
    <xf numFmtId="0" fontId="38" fillId="34" borderId="14" xfId="0" applyFont="1" applyFill="1" applyBorder="1" applyAlignment="1" applyProtection="1">
      <alignment/>
      <protection hidden="1"/>
    </xf>
    <xf numFmtId="0" fontId="38" fillId="34" borderId="11" xfId="0" applyFont="1" applyFill="1" applyBorder="1" applyAlignment="1" applyProtection="1">
      <alignment/>
      <protection hidden="1"/>
    </xf>
    <xf numFmtId="0" fontId="38" fillId="34" borderId="12" xfId="0" applyFont="1" applyFill="1" applyBorder="1" applyAlignment="1" applyProtection="1">
      <alignment/>
      <protection hidden="1"/>
    </xf>
    <xf numFmtId="0" fontId="38" fillId="34" borderId="13" xfId="0" applyFont="1" applyFill="1" applyBorder="1" applyAlignment="1" applyProtection="1">
      <alignment/>
      <protection hidden="1"/>
    </xf>
    <xf numFmtId="0" fontId="24" fillId="34" borderId="12" xfId="0" applyFont="1" applyFill="1" applyBorder="1" applyAlignment="1" applyProtection="1">
      <alignment/>
      <protection hidden="1"/>
    </xf>
    <xf numFmtId="0" fontId="38" fillId="34" borderId="11" xfId="0" applyFont="1" applyFill="1" applyBorder="1" applyAlignment="1" applyProtection="1">
      <alignment/>
      <protection hidden="1"/>
    </xf>
    <xf numFmtId="0" fontId="19" fillId="34" borderId="0" xfId="0" applyFont="1" applyFill="1" applyAlignment="1" applyProtection="1">
      <alignment/>
      <protection hidden="1"/>
    </xf>
    <xf numFmtId="4" fontId="19" fillId="34" borderId="0" xfId="0" applyNumberFormat="1" applyFont="1" applyFill="1" applyAlignment="1" applyProtection="1">
      <alignment/>
      <protection hidden="1"/>
    </xf>
    <xf numFmtId="0" fontId="19" fillId="0" borderId="0" xfId="0" applyFont="1" applyAlignment="1" applyProtection="1">
      <alignment/>
      <protection hidden="1"/>
    </xf>
    <xf numFmtId="0" fontId="40" fillId="0" borderId="0" xfId="0" applyFont="1" applyAlignment="1" applyProtection="1">
      <alignment/>
      <protection hidden="1"/>
    </xf>
    <xf numFmtId="205" fontId="22" fillId="0" borderId="12" xfId="0" applyNumberFormat="1" applyFont="1" applyBorder="1" applyAlignment="1" applyProtection="1">
      <alignment horizontal="center" wrapText="1"/>
      <protection hidden="1"/>
    </xf>
    <xf numFmtId="0" fontId="18" fillId="0" borderId="0" xfId="0" applyFont="1" applyAlignment="1" applyProtection="1">
      <alignment wrapText="1"/>
      <protection hidden="1"/>
    </xf>
    <xf numFmtId="0" fontId="22" fillId="0" borderId="15" xfId="0" applyFont="1" applyBorder="1" applyAlignment="1" applyProtection="1">
      <alignment wrapText="1"/>
      <protection hidden="1"/>
    </xf>
    <xf numFmtId="4" fontId="22" fillId="0" borderId="15" xfId="0" applyNumberFormat="1" applyFont="1" applyBorder="1" applyAlignment="1" applyProtection="1">
      <alignment wrapText="1"/>
      <protection hidden="1"/>
    </xf>
    <xf numFmtId="0" fontId="22" fillId="0" borderId="11" xfId="0" applyFont="1" applyBorder="1" applyAlignment="1" applyProtection="1">
      <alignment horizontal="center" wrapText="1"/>
      <protection hidden="1"/>
    </xf>
    <xf numFmtId="0" fontId="22" fillId="0" borderId="12" xfId="0" applyFont="1" applyBorder="1" applyAlignment="1" applyProtection="1">
      <alignment horizontal="center" wrapText="1"/>
      <protection hidden="1"/>
    </xf>
    <xf numFmtId="0" fontId="22" fillId="0" borderId="0" xfId="0" applyFont="1" applyBorder="1" applyAlignment="1" applyProtection="1">
      <alignment horizontal="center" wrapText="1"/>
      <protection hidden="1"/>
    </xf>
    <xf numFmtId="0" fontId="22" fillId="0" borderId="16" xfId="0" applyFont="1" applyBorder="1" applyAlignment="1" applyProtection="1">
      <alignment horizontal="center" wrapText="1"/>
      <protection hidden="1"/>
    </xf>
    <xf numFmtId="0" fontId="22" fillId="0" borderId="17" xfId="0" applyFont="1" applyBorder="1" applyAlignment="1" applyProtection="1">
      <alignment horizontal="center" wrapText="1"/>
      <protection hidden="1"/>
    </xf>
    <xf numFmtId="0" fontId="13" fillId="34" borderId="10" xfId="0" applyFont="1" applyFill="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42" fillId="0" borderId="10" xfId="0" applyFont="1" applyBorder="1" applyAlignment="1" applyProtection="1">
      <alignment horizontal="center" vertical="center" wrapText="1"/>
      <protection hidden="1"/>
    </xf>
    <xf numFmtId="0" fontId="42" fillId="0" borderId="10" xfId="0" applyFont="1" applyBorder="1" applyAlignment="1" applyProtection="1">
      <alignment horizontal="center" vertical="center" wrapText="1" shrinkToFit="1"/>
      <protection hidden="1"/>
    </xf>
    <xf numFmtId="0" fontId="40" fillId="0" borderId="10" xfId="0" applyFont="1" applyBorder="1" applyAlignment="1" applyProtection="1">
      <alignment horizontal="center" vertical="center" wrapText="1"/>
      <protection hidden="1"/>
    </xf>
    <xf numFmtId="0" fontId="22" fillId="0" borderId="18" xfId="0" applyFont="1" applyBorder="1" applyAlignment="1" applyProtection="1">
      <alignment horizontal="center" wrapText="1"/>
      <protection hidden="1"/>
    </xf>
    <xf numFmtId="205" fontId="22" fillId="0" borderId="12" xfId="0" applyNumberFormat="1" applyFont="1" applyBorder="1" applyAlignment="1" applyProtection="1">
      <alignment horizontal="center" textRotation="90" wrapText="1"/>
      <protection hidden="1"/>
    </xf>
    <xf numFmtId="0" fontId="22" fillId="0" borderId="12" xfId="0" applyFont="1" applyBorder="1" applyAlignment="1" applyProtection="1">
      <alignment horizontal="center" textRotation="90" wrapText="1"/>
      <protection hidden="1"/>
    </xf>
    <xf numFmtId="0" fontId="18" fillId="0" borderId="10" xfId="0" applyFont="1" applyBorder="1" applyAlignment="1" applyProtection="1">
      <alignment wrapText="1"/>
      <protection hidden="1"/>
    </xf>
    <xf numFmtId="0" fontId="0" fillId="0" borderId="10" xfId="0" applyBorder="1" applyAlignment="1" applyProtection="1">
      <alignment/>
      <protection hidden="1"/>
    </xf>
    <xf numFmtId="0" fontId="19" fillId="0" borderId="10" xfId="0" applyFont="1" applyBorder="1" applyAlignment="1" applyProtection="1">
      <alignment shrinkToFit="1"/>
      <protection hidden="1"/>
    </xf>
    <xf numFmtId="0" fontId="19" fillId="0" borderId="10" xfId="0" applyFont="1" applyBorder="1" applyAlignment="1" applyProtection="1">
      <alignment/>
      <protection hidden="1"/>
    </xf>
    <xf numFmtId="4" fontId="19" fillId="0" borderId="10" xfId="0" applyNumberFormat="1" applyFont="1" applyBorder="1" applyAlignment="1" applyProtection="1">
      <alignment/>
      <protection hidden="1"/>
    </xf>
    <xf numFmtId="4" fontId="11" fillId="0" borderId="10" xfId="0" applyNumberFormat="1" applyFont="1" applyBorder="1" applyAlignment="1" applyProtection="1">
      <alignment/>
      <protection hidden="1"/>
    </xf>
    <xf numFmtId="4" fontId="0" fillId="0" borderId="10" xfId="0" applyNumberFormat="1" applyBorder="1" applyAlignment="1" applyProtection="1">
      <alignment/>
      <protection hidden="1"/>
    </xf>
    <xf numFmtId="4" fontId="13" fillId="0" borderId="10" xfId="0" applyNumberFormat="1" applyFont="1" applyBorder="1" applyAlignment="1" applyProtection="1">
      <alignment/>
      <protection hidden="1"/>
    </xf>
    <xf numFmtId="4" fontId="13" fillId="0" borderId="10" xfId="0" applyNumberFormat="1" applyFont="1" applyBorder="1" applyAlignment="1" applyProtection="1">
      <alignment horizontal="center"/>
      <protection hidden="1"/>
    </xf>
    <xf numFmtId="0" fontId="0" fillId="0" borderId="10" xfId="0" applyBorder="1" applyAlignment="1" applyProtection="1">
      <alignment/>
      <protection hidden="1"/>
    </xf>
    <xf numFmtId="4" fontId="40" fillId="0" borderId="10" xfId="0" applyNumberFormat="1" applyFont="1" applyBorder="1" applyAlignment="1" applyProtection="1">
      <alignment/>
      <protection hidden="1"/>
    </xf>
    <xf numFmtId="0" fontId="17" fillId="0" borderId="18" xfId="0" applyFont="1" applyBorder="1" applyAlignment="1" applyProtection="1">
      <alignment horizontal="center" wrapText="1"/>
      <protection hidden="1"/>
    </xf>
    <xf numFmtId="4" fontId="22" fillId="0" borderId="19" xfId="0" applyNumberFormat="1" applyFont="1" applyBorder="1" applyAlignment="1" applyProtection="1">
      <alignment horizontal="center"/>
      <protection hidden="1"/>
    </xf>
    <xf numFmtId="4" fontId="22" fillId="0" borderId="18" xfId="0" applyNumberFormat="1" applyFont="1" applyBorder="1" applyAlignment="1" applyProtection="1">
      <alignment horizontal="center" wrapText="1"/>
      <protection hidden="1"/>
    </xf>
    <xf numFmtId="4" fontId="22" fillId="0" borderId="12" xfId="0" applyNumberFormat="1" applyFont="1" applyBorder="1" applyAlignment="1" applyProtection="1">
      <alignment horizontal="center" wrapText="1"/>
      <protection hidden="1"/>
    </xf>
    <xf numFmtId="4" fontId="18" fillId="0" borderId="10" xfId="0" applyNumberFormat="1" applyFont="1" applyBorder="1" applyAlignment="1" applyProtection="1">
      <alignment wrapText="1"/>
      <protection hidden="1"/>
    </xf>
    <xf numFmtId="4" fontId="22" fillId="0" borderId="20" xfId="0" applyNumberFormat="1" applyFont="1" applyBorder="1" applyAlignment="1" applyProtection="1">
      <alignment wrapText="1"/>
      <protection hidden="1"/>
    </xf>
    <xf numFmtId="0" fontId="17" fillId="0" borderId="0" xfId="0" applyFont="1" applyAlignment="1" applyProtection="1">
      <alignment horizontal="justify"/>
      <protection hidden="1"/>
    </xf>
    <xf numFmtId="0" fontId="17" fillId="0" borderId="0" xfId="0" applyFont="1" applyAlignment="1" applyProtection="1">
      <alignment horizontal="justify" wrapText="1"/>
      <protection hidden="1"/>
    </xf>
    <xf numFmtId="0" fontId="43" fillId="0" borderId="0" xfId="0" applyFont="1" applyAlignment="1" applyProtection="1">
      <alignment wrapText="1"/>
      <protection hidden="1"/>
    </xf>
    <xf numFmtId="0" fontId="44" fillId="0" borderId="0" xfId="0" applyFont="1" applyAlignment="1" applyProtection="1">
      <alignment wrapText="1"/>
      <protection hidden="1"/>
    </xf>
    <xf numFmtId="0" fontId="22" fillId="0" borderId="0" xfId="0" applyFont="1" applyAlignment="1" applyProtection="1">
      <alignment wrapText="1"/>
      <protection hidden="1"/>
    </xf>
    <xf numFmtId="1" fontId="19" fillId="0" borderId="10" xfId="0" applyNumberFormat="1" applyFont="1" applyBorder="1" applyAlignment="1" applyProtection="1">
      <alignment shrinkToFit="1"/>
      <protection hidden="1"/>
    </xf>
    <xf numFmtId="3" fontId="19" fillId="0" borderId="10" xfId="0" applyNumberFormat="1" applyFont="1" applyBorder="1" applyAlignment="1" applyProtection="1">
      <alignment shrinkToFit="1"/>
      <protection hidden="1"/>
    </xf>
    <xf numFmtId="0" fontId="0" fillId="0" borderId="0" xfId="0"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left" wrapText="1"/>
      <protection hidden="1"/>
    </xf>
    <xf numFmtId="0" fontId="0" fillId="0" borderId="0" xfId="0" applyFill="1" applyBorder="1" applyAlignment="1" applyProtection="1">
      <alignment/>
      <protection hidden="1"/>
    </xf>
    <xf numFmtId="1" fontId="8"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shrinkToFit="1"/>
      <protection hidden="1"/>
    </xf>
    <xf numFmtId="0" fontId="4" fillId="0" borderId="0" xfId="0" applyFont="1" applyFill="1" applyBorder="1" applyAlignment="1" applyProtection="1">
      <alignment wrapText="1"/>
      <protection hidden="1"/>
    </xf>
    <xf numFmtId="1" fontId="4" fillId="0" borderId="0" xfId="0" applyNumberFormat="1" applyFont="1" applyFill="1" applyBorder="1" applyAlignment="1" applyProtection="1">
      <alignment/>
      <protection hidden="1"/>
    </xf>
    <xf numFmtId="1" fontId="4" fillId="0" borderId="0" xfId="0" applyNumberFormat="1" applyFont="1" applyFill="1" applyBorder="1" applyAlignment="1" applyProtection="1">
      <alignment horizontal="center"/>
      <protection hidden="1"/>
    </xf>
    <xf numFmtId="1" fontId="0" fillId="0" borderId="0" xfId="0" applyNumberFormat="1" applyFill="1" applyBorder="1" applyAlignment="1" applyProtection="1">
      <alignment/>
      <protection hidden="1"/>
    </xf>
    <xf numFmtId="0" fontId="0" fillId="0" borderId="10" xfId="0" applyFill="1" applyBorder="1" applyAlignment="1" applyProtection="1">
      <alignment/>
      <protection hidden="1"/>
    </xf>
    <xf numFmtId="0" fontId="0" fillId="0" borderId="10" xfId="0" applyFill="1" applyBorder="1" applyAlignment="1" applyProtection="1">
      <alignment wrapText="1"/>
      <protection hidden="1"/>
    </xf>
    <xf numFmtId="0" fontId="1" fillId="0" borderId="21" xfId="0" applyFont="1" applyFill="1" applyBorder="1" applyAlignment="1" applyProtection="1">
      <alignment horizontal="center"/>
      <protection hidden="1"/>
    </xf>
    <xf numFmtId="0" fontId="4" fillId="0" borderId="10" xfId="0" applyFont="1" applyFill="1" applyBorder="1" applyAlignment="1" applyProtection="1">
      <alignment horizontal="left" wrapText="1"/>
      <protection hidden="1"/>
    </xf>
    <xf numFmtId="4" fontId="35" fillId="0" borderId="10" xfId="0" applyNumberFormat="1" applyFont="1" applyFill="1" applyBorder="1" applyAlignment="1" applyProtection="1">
      <alignment/>
      <protection hidden="1"/>
    </xf>
    <xf numFmtId="0" fontId="1" fillId="0" borderId="0" xfId="0" applyFont="1" applyFill="1" applyAlignment="1" applyProtection="1">
      <alignment wrapText="1"/>
      <protection hidden="1"/>
    </xf>
    <xf numFmtId="0" fontId="2" fillId="0" borderId="0" xfId="0" applyFont="1" applyFill="1" applyAlignment="1" applyProtection="1">
      <alignment horizontal="center" vertical="center" wrapText="1"/>
      <protection hidden="1"/>
    </xf>
    <xf numFmtId="0" fontId="0" fillId="0" borderId="10" xfId="0" applyFill="1" applyBorder="1" applyAlignment="1" applyProtection="1">
      <alignment/>
      <protection hidden="1"/>
    </xf>
    <xf numFmtId="0" fontId="35" fillId="0" borderId="10" xfId="0" applyFont="1" applyFill="1" applyBorder="1" applyAlignment="1" applyProtection="1">
      <alignment horizontal="left" wrapText="1"/>
      <protection hidden="1"/>
    </xf>
    <xf numFmtId="0" fontId="1" fillId="0" borderId="0" xfId="0" applyFont="1" applyFill="1" applyBorder="1" applyAlignment="1" applyProtection="1">
      <alignment wrapText="1"/>
      <protection hidden="1"/>
    </xf>
    <xf numFmtId="0" fontId="2" fillId="0" borderId="0" xfId="0" applyFont="1" applyFill="1" applyBorder="1" applyAlignment="1" applyProtection="1">
      <alignment horizontal="center" vertical="center" wrapText="1"/>
      <protection hidden="1"/>
    </xf>
    <xf numFmtId="0" fontId="0" fillId="0" borderId="21" xfId="0" applyFill="1" applyBorder="1" applyAlignment="1" applyProtection="1">
      <alignment/>
      <protection hidden="1"/>
    </xf>
    <xf numFmtId="4" fontId="35" fillId="0" borderId="10" xfId="0" applyNumberFormat="1" applyFont="1" applyFill="1" applyBorder="1" applyAlignment="1" applyProtection="1">
      <alignment/>
      <protection hidden="1"/>
    </xf>
    <xf numFmtId="4" fontId="1" fillId="0" borderId="0" xfId="0" applyNumberFormat="1" applyFont="1" applyFill="1" applyBorder="1" applyAlignment="1" applyProtection="1">
      <alignment vertical="center"/>
      <protection hidden="1"/>
    </xf>
    <xf numFmtId="0" fontId="0" fillId="0" borderId="0" xfId="0" applyFill="1" applyBorder="1" applyAlignment="1" applyProtection="1">
      <alignment vertical="center"/>
      <protection hidden="1"/>
    </xf>
    <xf numFmtId="4" fontId="2" fillId="0" borderId="0" xfId="0" applyNumberFormat="1" applyFont="1" applyFill="1" applyBorder="1" applyAlignment="1" applyProtection="1">
      <alignment vertical="center"/>
      <protection hidden="1"/>
    </xf>
    <xf numFmtId="0" fontId="4" fillId="0" borderId="10" xfId="0" applyFont="1" applyFill="1" applyBorder="1" applyAlignment="1" applyProtection="1">
      <alignment wrapText="1"/>
      <protection hidden="1"/>
    </xf>
    <xf numFmtId="4" fontId="4" fillId="0" borderId="22" xfId="0" applyNumberFormat="1" applyFont="1" applyFill="1" applyBorder="1" applyAlignment="1" applyProtection="1">
      <alignment wrapText="1"/>
      <protection hidden="1"/>
    </xf>
    <xf numFmtId="0" fontId="9" fillId="0" borderId="21" xfId="0" applyFont="1" applyFill="1" applyBorder="1" applyAlignment="1" applyProtection="1">
      <alignment vertical="center" textRotation="90" shrinkToFit="1"/>
      <protection hidden="1"/>
    </xf>
    <xf numFmtId="4" fontId="10" fillId="0" borderId="21" xfId="0" applyNumberFormat="1" applyFont="1" applyFill="1" applyBorder="1" applyAlignment="1" applyProtection="1">
      <alignment vertical="center" textRotation="90"/>
      <protection hidden="1"/>
    </xf>
    <xf numFmtId="4" fontId="32" fillId="0" borderId="22" xfId="0" applyNumberFormat="1" applyFont="1" applyFill="1" applyBorder="1" applyAlignment="1" applyProtection="1">
      <alignment wrapText="1"/>
      <protection hidden="1"/>
    </xf>
    <xf numFmtId="4" fontId="4" fillId="0" borderId="10" xfId="0" applyNumberFormat="1" applyFont="1" applyFill="1" applyBorder="1" applyAlignment="1" applyProtection="1">
      <alignment horizontal="left" wrapText="1"/>
      <protection hidden="1"/>
    </xf>
    <xf numFmtId="4" fontId="1" fillId="0" borderId="22" xfId="0" applyNumberFormat="1" applyFont="1" applyFill="1" applyBorder="1" applyAlignment="1" applyProtection="1">
      <alignment wrapText="1"/>
      <protection hidden="1"/>
    </xf>
    <xf numFmtId="0" fontId="35" fillId="0" borderId="10" xfId="0" applyFont="1" applyFill="1" applyBorder="1" applyAlignment="1" applyProtection="1">
      <alignment/>
      <protection hidden="1"/>
    </xf>
    <xf numFmtId="1" fontId="0" fillId="0" borderId="0" xfId="0" applyNumberFormat="1" applyFill="1" applyAlignment="1" applyProtection="1">
      <alignment/>
      <protection hidden="1"/>
    </xf>
    <xf numFmtId="0" fontId="21" fillId="0" borderId="10" xfId="0" applyFont="1" applyFill="1" applyBorder="1" applyAlignment="1" applyProtection="1">
      <alignment horizontal="left" wrapText="1"/>
      <protection hidden="1"/>
    </xf>
    <xf numFmtId="0" fontId="35" fillId="0" borderId="10" xfId="0" applyFont="1" applyFill="1" applyBorder="1" applyAlignment="1" applyProtection="1">
      <alignment horizontal="right" wrapText="1"/>
      <protection hidden="1"/>
    </xf>
    <xf numFmtId="0" fontId="4" fillId="0" borderId="21" xfId="0" applyFont="1" applyFill="1" applyBorder="1" applyAlignment="1" applyProtection="1">
      <alignment wrapText="1"/>
      <protection hidden="1"/>
    </xf>
    <xf numFmtId="4" fontId="35" fillId="0" borderId="10" xfId="0" applyNumberFormat="1" applyFont="1" applyFill="1" applyBorder="1" applyAlignment="1" applyProtection="1">
      <alignment horizontal="right" wrapText="1"/>
      <protection hidden="1"/>
    </xf>
    <xf numFmtId="0" fontId="4" fillId="0" borderId="10" xfId="0" applyFont="1" applyFill="1" applyBorder="1" applyAlignment="1" applyProtection="1">
      <alignment/>
      <protection hidden="1"/>
    </xf>
    <xf numFmtId="0" fontId="0" fillId="0" borderId="10" xfId="0" applyFill="1" applyBorder="1" applyAlignment="1" applyProtection="1">
      <alignment horizontal="left" wrapText="1"/>
      <protection hidden="1"/>
    </xf>
    <xf numFmtId="0" fontId="20" fillId="0" borderId="10" xfId="0" applyFont="1" applyFill="1" applyBorder="1" applyAlignment="1" applyProtection="1">
      <alignment/>
      <protection hidden="1"/>
    </xf>
    <xf numFmtId="0" fontId="4" fillId="0" borderId="22" xfId="0" applyFont="1" applyFill="1" applyBorder="1" applyAlignment="1" applyProtection="1">
      <alignment/>
      <protection hidden="1"/>
    </xf>
    <xf numFmtId="4" fontId="4" fillId="0" borderId="22" xfId="0" applyNumberFormat="1" applyFont="1" applyFill="1" applyBorder="1" applyAlignment="1" applyProtection="1">
      <alignment/>
      <protection hidden="1"/>
    </xf>
    <xf numFmtId="0" fontId="50" fillId="0" borderId="10" xfId="0" applyFont="1" applyFill="1" applyBorder="1" applyAlignment="1" applyProtection="1">
      <alignment/>
      <protection hidden="1"/>
    </xf>
    <xf numFmtId="0" fontId="21" fillId="0" borderId="10" xfId="0" applyFont="1" applyFill="1" applyBorder="1" applyAlignment="1" applyProtection="1">
      <alignment wrapText="1"/>
      <protection hidden="1"/>
    </xf>
    <xf numFmtId="0" fontId="35" fillId="0" borderId="10" xfId="0" applyFont="1" applyFill="1" applyBorder="1" applyAlignment="1" applyProtection="1">
      <alignment horizontal="left" wrapText="1" shrinkToFit="1"/>
      <protection hidden="1"/>
    </xf>
    <xf numFmtId="1" fontId="35" fillId="0" borderId="10" xfId="0" applyNumberFormat="1" applyFont="1" applyFill="1" applyBorder="1" applyAlignment="1" applyProtection="1">
      <alignment shrinkToFit="1"/>
      <protection hidden="1"/>
    </xf>
    <xf numFmtId="4" fontId="35" fillId="0" borderId="10" xfId="0" applyNumberFormat="1" applyFont="1" applyFill="1" applyBorder="1" applyAlignment="1" applyProtection="1">
      <alignment shrinkToFit="1"/>
      <protection hidden="1"/>
    </xf>
    <xf numFmtId="0" fontId="21" fillId="0" borderId="10" xfId="0" applyFont="1" applyFill="1" applyBorder="1" applyAlignment="1" applyProtection="1">
      <alignment/>
      <protection hidden="1"/>
    </xf>
    <xf numFmtId="4" fontId="0" fillId="0" borderId="10" xfId="0" applyNumberFormat="1" applyFill="1" applyBorder="1" applyAlignment="1" applyProtection="1">
      <alignment/>
      <protection hidden="1"/>
    </xf>
    <xf numFmtId="0" fontId="9" fillId="0" borderId="21" xfId="0" applyFont="1" applyFill="1" applyBorder="1" applyAlignment="1" applyProtection="1">
      <alignment horizontal="center" vertical="center" textRotation="90" shrinkToFit="1"/>
      <protection hidden="1"/>
    </xf>
    <xf numFmtId="4" fontId="10" fillId="0" borderId="21" xfId="0" applyNumberFormat="1" applyFont="1" applyFill="1" applyBorder="1" applyAlignment="1" applyProtection="1">
      <alignment horizontal="center" vertical="center" textRotation="90"/>
      <protection hidden="1"/>
    </xf>
    <xf numFmtId="4" fontId="4" fillId="0" borderId="10" xfId="0" applyNumberFormat="1" applyFont="1" applyFill="1" applyBorder="1" applyAlignment="1" applyProtection="1">
      <alignment wrapText="1"/>
      <protection hidden="1"/>
    </xf>
    <xf numFmtId="0" fontId="48" fillId="0" borderId="10" xfId="0" applyFont="1" applyFill="1" applyBorder="1" applyAlignment="1" applyProtection="1">
      <alignment horizontal="left" wrapText="1"/>
      <protection hidden="1"/>
    </xf>
    <xf numFmtId="4" fontId="49" fillId="0" borderId="10" xfId="0" applyNumberFormat="1" applyFont="1" applyFill="1" applyBorder="1" applyAlignment="1" applyProtection="1">
      <alignment/>
      <protection hidden="1"/>
    </xf>
    <xf numFmtId="4" fontId="10" fillId="0" borderId="10" xfId="0" applyNumberFormat="1" applyFont="1" applyFill="1" applyBorder="1" applyAlignment="1" applyProtection="1">
      <alignment vertical="center"/>
      <protection hidden="1"/>
    </xf>
    <xf numFmtId="0" fontId="47" fillId="0" borderId="10" xfId="0" applyFont="1" applyFill="1" applyBorder="1" applyAlignment="1" applyProtection="1">
      <alignment horizontal="left" wrapText="1"/>
      <protection hidden="1"/>
    </xf>
    <xf numFmtId="4" fontId="47" fillId="0" borderId="10" xfId="0" applyNumberFormat="1" applyFont="1" applyFill="1" applyBorder="1" applyAlignment="1" applyProtection="1">
      <alignment/>
      <protection hidden="1"/>
    </xf>
    <xf numFmtId="0" fontId="21" fillId="0" borderId="0" xfId="0" applyFont="1" applyFill="1" applyBorder="1" applyAlignment="1" applyProtection="1">
      <alignment horizontal="left" wrapText="1"/>
      <protection hidden="1"/>
    </xf>
    <xf numFmtId="4" fontId="4" fillId="0" borderId="0" xfId="0" applyNumberFormat="1" applyFont="1" applyFill="1" applyBorder="1" applyAlignment="1" applyProtection="1">
      <alignment horizontal="center" wrapText="1"/>
      <protection hidden="1"/>
    </xf>
    <xf numFmtId="0" fontId="0" fillId="0" borderId="0" xfId="0" applyFill="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3" fillId="0" borderId="0" xfId="0" applyFont="1" applyFill="1" applyBorder="1" applyAlignment="1" applyProtection="1">
      <alignment/>
      <protection hidden="1"/>
    </xf>
    <xf numFmtId="0" fontId="34" fillId="0" borderId="0" xfId="0" applyFont="1" applyFill="1" applyBorder="1" applyAlignment="1" applyProtection="1">
      <alignment horizontal="left" wrapText="1"/>
      <protection hidden="1"/>
    </xf>
    <xf numFmtId="0" fontId="33" fillId="0" borderId="0" xfId="0" applyFont="1" applyFill="1" applyAlignment="1" applyProtection="1">
      <alignment horizontal="left" wrapText="1"/>
      <protection hidden="1"/>
    </xf>
    <xf numFmtId="0" fontId="0" fillId="33" borderId="0" xfId="0" applyFill="1" applyAlignment="1" applyProtection="1">
      <alignment/>
      <protection hidden="1"/>
    </xf>
    <xf numFmtId="2" fontId="21" fillId="35" borderId="10" xfId="0" applyNumberFormat="1" applyFont="1" applyFill="1" applyBorder="1" applyAlignment="1" applyProtection="1">
      <alignment wrapText="1"/>
      <protection hidden="1"/>
    </xf>
    <xf numFmtId="0" fontId="0" fillId="34" borderId="0" xfId="0" applyFill="1" applyAlignment="1" applyProtection="1">
      <alignment/>
      <protection hidden="1"/>
    </xf>
    <xf numFmtId="0" fontId="0" fillId="0" borderId="10" xfId="0" applyBorder="1" applyAlignment="1" applyProtection="1">
      <alignment/>
      <protection hidden="1" locked="0"/>
    </xf>
    <xf numFmtId="0" fontId="35" fillId="0" borderId="10" xfId="0" applyFont="1" applyFill="1" applyBorder="1" applyAlignment="1" applyProtection="1">
      <alignment/>
      <protection hidden="1"/>
    </xf>
    <xf numFmtId="0" fontId="1" fillId="0" borderId="10" xfId="0" applyFont="1" applyFill="1" applyBorder="1" applyAlignment="1" applyProtection="1">
      <alignment/>
      <protection hidden="1"/>
    </xf>
    <xf numFmtId="0" fontId="1" fillId="36" borderId="10" xfId="0" applyFont="1" applyFill="1" applyBorder="1" applyAlignment="1" applyProtection="1">
      <alignment horizontal="center"/>
      <protection hidden="1"/>
    </xf>
    <xf numFmtId="0" fontId="1" fillId="37" borderId="10" xfId="0" applyFont="1" applyFill="1" applyBorder="1" applyAlignment="1" applyProtection="1">
      <alignment/>
      <protection hidden="1"/>
    </xf>
    <xf numFmtId="0" fontId="40" fillId="0" borderId="0" xfId="0" applyFont="1" applyAlignment="1" applyProtection="1">
      <alignment/>
      <protection hidden="1" locked="0"/>
    </xf>
    <xf numFmtId="0" fontId="40" fillId="0" borderId="0" xfId="0" applyFont="1" applyBorder="1" applyAlignment="1" applyProtection="1">
      <alignment horizontal="center" vertical="center" wrapText="1"/>
      <protection hidden="1" locked="0"/>
    </xf>
    <xf numFmtId="4" fontId="40" fillId="0" borderId="0" xfId="0" applyNumberFormat="1" applyFont="1" applyBorder="1" applyAlignment="1" applyProtection="1">
      <alignment/>
      <protection hidden="1" locked="0"/>
    </xf>
    <xf numFmtId="0" fontId="19" fillId="0" borderId="0" xfId="0" applyFont="1" applyAlignment="1" applyProtection="1">
      <alignment/>
      <protection hidden="1" locked="0"/>
    </xf>
    <xf numFmtId="0" fontId="16" fillId="0" borderId="0" xfId="47" applyFont="1" applyAlignment="1" applyProtection="1" quotePrefix="1">
      <alignment/>
      <protection hidden="1" locked="0"/>
    </xf>
    <xf numFmtId="0" fontId="53" fillId="0" borderId="0" xfId="47" applyFont="1" applyFill="1" applyAlignment="1" applyProtection="1" quotePrefix="1">
      <alignment/>
      <protection hidden="1"/>
    </xf>
    <xf numFmtId="0" fontId="53" fillId="0" borderId="0" xfId="47" applyFont="1" applyFill="1" applyAlignment="1" applyProtection="1">
      <alignment/>
      <protection hidden="1"/>
    </xf>
    <xf numFmtId="0" fontId="53" fillId="0" borderId="0" xfId="47" applyFont="1" applyFill="1" applyAlignment="1" applyProtection="1">
      <alignment horizontal="left" wrapText="1"/>
      <protection hidden="1"/>
    </xf>
    <xf numFmtId="0" fontId="29" fillId="0" borderId="0" xfId="0" applyFont="1" applyFill="1" applyAlignment="1" applyProtection="1">
      <alignment/>
      <protection hidden="1"/>
    </xf>
    <xf numFmtId="0" fontId="53" fillId="0" borderId="0" xfId="47" applyFont="1" applyFill="1" applyAlignment="1" applyProtection="1" quotePrefix="1">
      <alignment horizontal="left" wrapText="1"/>
      <protection hidden="1"/>
    </xf>
    <xf numFmtId="0" fontId="29" fillId="0" borderId="0" xfId="0" applyFont="1" applyFill="1" applyAlignment="1" applyProtection="1">
      <alignment horizontal="left" wrapText="1"/>
      <protection hidden="1"/>
    </xf>
    <xf numFmtId="0" fontId="20" fillId="38" borderId="0" xfId="0" applyFont="1" applyFill="1" applyAlignment="1" applyProtection="1">
      <alignment horizontal="center"/>
      <protection hidden="1"/>
    </xf>
    <xf numFmtId="0" fontId="6" fillId="38" borderId="0" xfId="0" applyFont="1" applyFill="1" applyAlignment="1" applyProtection="1">
      <alignment horizontal="center"/>
      <protection hidden="1"/>
    </xf>
    <xf numFmtId="0" fontId="25" fillId="38" borderId="0" xfId="0" applyFont="1" applyFill="1" applyAlignment="1" applyProtection="1">
      <alignment horizontal="center"/>
      <protection hidden="1"/>
    </xf>
    <xf numFmtId="0" fontId="35" fillId="0" borderId="10" xfId="0" applyFont="1" applyFill="1" applyBorder="1" applyAlignment="1" applyProtection="1">
      <alignment horizontal="left" wrapText="1"/>
      <protection hidden="1"/>
    </xf>
    <xf numFmtId="0" fontId="4" fillId="0" borderId="0" xfId="0" applyFont="1" applyFill="1" applyAlignment="1" applyProtection="1">
      <alignment/>
      <protection hidden="1"/>
    </xf>
    <xf numFmtId="0" fontId="6" fillId="39" borderId="0" xfId="0" applyFont="1" applyFill="1" applyAlignment="1" applyProtection="1">
      <alignment horizontal="center"/>
      <protection hidden="1"/>
    </xf>
    <xf numFmtId="0" fontId="21" fillId="34" borderId="22" xfId="0" applyFont="1" applyFill="1" applyBorder="1" applyAlignment="1" applyProtection="1">
      <alignment wrapText="1"/>
      <protection hidden="1"/>
    </xf>
    <xf numFmtId="0" fontId="21" fillId="40" borderId="10" xfId="0" applyFont="1" applyFill="1" applyBorder="1" applyAlignment="1" applyProtection="1">
      <alignment wrapText="1"/>
      <protection hidden="1"/>
    </xf>
    <xf numFmtId="4" fontId="35" fillId="0" borderId="10" xfId="0" applyNumberFormat="1" applyFont="1" applyFill="1" applyBorder="1" applyAlignment="1" applyProtection="1">
      <alignment/>
      <protection hidden="1"/>
    </xf>
    <xf numFmtId="0" fontId="21" fillId="6" borderId="10" xfId="0" applyFont="1" applyFill="1" applyBorder="1" applyAlignment="1" applyProtection="1">
      <alignment wrapText="1"/>
      <protection hidden="1"/>
    </xf>
    <xf numFmtId="0" fontId="0" fillId="4" borderId="10" xfId="0" applyFont="1" applyFill="1" applyBorder="1" applyAlignment="1" applyProtection="1">
      <alignment/>
      <protection hidden="1"/>
    </xf>
    <xf numFmtId="0" fontId="21" fillId="7" borderId="10" xfId="0" applyFont="1" applyFill="1" applyBorder="1" applyAlignment="1" applyProtection="1">
      <alignment wrapText="1"/>
      <protection hidden="1"/>
    </xf>
    <xf numFmtId="0" fontId="4" fillId="0" borderId="10" xfId="0" applyFont="1" applyFill="1" applyBorder="1" applyAlignment="1" applyProtection="1">
      <alignment wrapText="1"/>
      <protection hidden="1"/>
    </xf>
    <xf numFmtId="1" fontId="4" fillId="0" borderId="22" xfId="0" applyNumberFormat="1" applyFont="1" applyFill="1" applyBorder="1" applyAlignment="1" applyProtection="1">
      <alignment horizontal="left" wrapText="1"/>
      <protection hidden="1"/>
    </xf>
    <xf numFmtId="3" fontId="4" fillId="0" borderId="22" xfId="0" applyNumberFormat="1" applyFont="1" applyFill="1" applyBorder="1" applyAlignment="1" applyProtection="1">
      <alignment/>
      <protection hidden="1"/>
    </xf>
    <xf numFmtId="3" fontId="4" fillId="0" borderId="22" xfId="0" applyNumberFormat="1" applyFont="1" applyFill="1" applyBorder="1" applyAlignment="1" applyProtection="1">
      <alignment horizontal="left"/>
      <protection hidden="1"/>
    </xf>
    <xf numFmtId="0" fontId="4" fillId="6" borderId="10" xfId="0" applyFont="1" applyFill="1" applyBorder="1" applyAlignment="1" applyProtection="1">
      <alignment/>
      <protection hidden="1"/>
    </xf>
    <xf numFmtId="1" fontId="4" fillId="0" borderId="22" xfId="0" applyNumberFormat="1" applyFont="1" applyFill="1" applyBorder="1" applyAlignment="1" applyProtection="1">
      <alignment horizontal="left"/>
      <protection hidden="1"/>
    </xf>
    <xf numFmtId="1" fontId="4" fillId="0" borderId="22" xfId="0" applyNumberFormat="1" applyFont="1" applyFill="1" applyBorder="1" applyAlignment="1" applyProtection="1">
      <alignment wrapText="1"/>
      <protection hidden="1"/>
    </xf>
    <xf numFmtId="0" fontId="0" fillId="4" borderId="0" xfId="0" applyFill="1" applyAlignment="1" applyProtection="1">
      <alignment/>
      <protection hidden="1"/>
    </xf>
    <xf numFmtId="0" fontId="0" fillId="4" borderId="0" xfId="0" applyFont="1" applyFill="1" applyAlignment="1" applyProtection="1">
      <alignment/>
      <protection hidden="1"/>
    </xf>
    <xf numFmtId="1" fontId="0" fillId="4" borderId="0" xfId="0" applyNumberFormat="1" applyFill="1" applyBorder="1" applyAlignment="1" applyProtection="1">
      <alignment/>
      <protection hidden="1"/>
    </xf>
    <xf numFmtId="0" fontId="52" fillId="4" borderId="0" xfId="47" applyFont="1" applyFill="1" applyAlignment="1" applyProtection="1" quotePrefix="1">
      <alignment horizontal="center"/>
      <protection hidden="1"/>
    </xf>
    <xf numFmtId="0" fontId="0" fillId="4" borderId="0" xfId="0" applyFont="1" applyFill="1" applyAlignment="1" applyProtection="1">
      <alignment/>
      <protection hidden="1"/>
    </xf>
    <xf numFmtId="0" fontId="36" fillId="4" borderId="0" xfId="0" applyFont="1" applyFill="1" applyAlignment="1" applyProtection="1">
      <alignment/>
      <protection hidden="1"/>
    </xf>
    <xf numFmtId="0" fontId="31" fillId="4" borderId="0" xfId="0" applyFont="1" applyFill="1" applyAlignment="1" applyProtection="1">
      <alignment/>
      <protection hidden="1"/>
    </xf>
    <xf numFmtId="0" fontId="52" fillId="4" borderId="0" xfId="47" applyFont="1" applyFill="1" applyAlignment="1" applyProtection="1">
      <alignment horizontal="center"/>
      <protection hidden="1"/>
    </xf>
    <xf numFmtId="0" fontId="52" fillId="4" borderId="0" xfId="47" applyFont="1" applyFill="1" applyAlignment="1" applyProtection="1" quotePrefix="1">
      <alignment/>
      <protection hidden="1"/>
    </xf>
    <xf numFmtId="0" fontId="52" fillId="4" borderId="0" xfId="47" applyFont="1" applyFill="1" applyAlignment="1" applyProtection="1">
      <alignment/>
      <protection hidden="1"/>
    </xf>
    <xf numFmtId="0" fontId="0" fillId="4" borderId="0" xfId="0" applyFill="1" applyBorder="1" applyAlignment="1" applyProtection="1">
      <alignment/>
      <protection hidden="1"/>
    </xf>
    <xf numFmtId="0" fontId="20" fillId="4" borderId="0" xfId="0" applyFont="1" applyFill="1" applyAlignment="1" applyProtection="1">
      <alignment/>
      <protection hidden="1"/>
    </xf>
    <xf numFmtId="0" fontId="2" fillId="4" borderId="0" xfId="0" applyFont="1" applyFill="1" applyAlignment="1" applyProtection="1">
      <alignment/>
      <protection hidden="1"/>
    </xf>
    <xf numFmtId="14" fontId="20" fillId="4" borderId="0" xfId="0" applyNumberFormat="1" applyFont="1" applyFill="1" applyAlignment="1" applyProtection="1">
      <alignment/>
      <protection hidden="1"/>
    </xf>
    <xf numFmtId="1" fontId="2" fillId="4" borderId="0" xfId="0" applyNumberFormat="1" applyFont="1" applyFill="1" applyAlignment="1" applyProtection="1">
      <alignment/>
      <protection hidden="1"/>
    </xf>
    <xf numFmtId="0" fontId="6" fillId="4" borderId="0" xfId="0" applyFont="1" applyFill="1" applyAlignment="1" applyProtection="1">
      <alignment horizontal="center"/>
      <protection hidden="1"/>
    </xf>
    <xf numFmtId="0" fontId="6" fillId="4" borderId="0" xfId="0" applyFont="1" applyFill="1" applyAlignment="1" applyProtection="1">
      <alignment horizontal="left"/>
      <protection hidden="1"/>
    </xf>
    <xf numFmtId="0" fontId="6" fillId="4" borderId="0" xfId="0" applyFont="1" applyFill="1" applyBorder="1" applyAlignment="1" applyProtection="1">
      <alignment/>
      <protection hidden="1"/>
    </xf>
    <xf numFmtId="0" fontId="27" fillId="4" borderId="0" xfId="0" applyFont="1" applyFill="1" applyAlignment="1" applyProtection="1">
      <alignment horizontal="right"/>
      <protection hidden="1"/>
    </xf>
    <xf numFmtId="209" fontId="6" fillId="4" borderId="0" xfId="0" applyNumberFormat="1" applyFont="1" applyFill="1" applyAlignment="1" applyProtection="1">
      <alignment horizontal="center"/>
      <protection hidden="1"/>
    </xf>
    <xf numFmtId="0" fontId="0" fillId="4" borderId="0" xfId="0" applyFont="1" applyFill="1" applyBorder="1" applyAlignment="1" applyProtection="1">
      <alignment/>
      <protection hidden="1"/>
    </xf>
    <xf numFmtId="0" fontId="4" fillId="4" borderId="0" xfId="0" applyFont="1" applyFill="1" applyBorder="1" applyAlignment="1" applyProtection="1">
      <alignment/>
      <protection hidden="1"/>
    </xf>
    <xf numFmtId="1" fontId="4" fillId="4" borderId="0" xfId="0" applyNumberFormat="1" applyFont="1" applyFill="1" applyBorder="1" applyAlignment="1" applyProtection="1">
      <alignment/>
      <protection hidden="1"/>
    </xf>
    <xf numFmtId="0" fontId="4" fillId="4" borderId="0" xfId="0" applyFont="1" applyFill="1" applyBorder="1" applyAlignment="1" applyProtection="1">
      <alignment wrapText="1"/>
      <protection hidden="1"/>
    </xf>
    <xf numFmtId="1" fontId="4" fillId="4" borderId="0" xfId="0" applyNumberFormat="1" applyFont="1" applyFill="1" applyBorder="1" applyAlignment="1" applyProtection="1">
      <alignment wrapText="1"/>
      <protection hidden="1"/>
    </xf>
    <xf numFmtId="0" fontId="0" fillId="4" borderId="0" xfId="0" applyFont="1" applyFill="1" applyAlignment="1" applyProtection="1">
      <alignment/>
      <protection hidden="1"/>
    </xf>
    <xf numFmtId="0" fontId="27" fillId="4" borderId="0" xfId="0" applyFont="1" applyFill="1" applyAlignment="1" applyProtection="1">
      <alignment/>
      <protection hidden="1"/>
    </xf>
    <xf numFmtId="0" fontId="0" fillId="4" borderId="23" xfId="0" applyFont="1" applyFill="1" applyBorder="1" applyAlignment="1" applyProtection="1">
      <alignment/>
      <protection hidden="1"/>
    </xf>
    <xf numFmtId="1" fontId="0" fillId="4" borderId="10" xfId="0" applyNumberFormat="1" applyFont="1" applyFill="1" applyBorder="1" applyAlignment="1" applyProtection="1">
      <alignment horizontal="center"/>
      <protection hidden="1"/>
    </xf>
    <xf numFmtId="0" fontId="0" fillId="4" borderId="24" xfId="0" applyFont="1" applyFill="1" applyBorder="1" applyAlignment="1" applyProtection="1">
      <alignment/>
      <protection hidden="1"/>
    </xf>
    <xf numFmtId="1" fontId="0" fillId="4" borderId="25" xfId="0" applyNumberFormat="1" applyFont="1" applyFill="1" applyBorder="1" applyAlignment="1" applyProtection="1">
      <alignment horizontal="center"/>
      <protection hidden="1"/>
    </xf>
    <xf numFmtId="0" fontId="20" fillId="5" borderId="0" xfId="0" applyFont="1" applyFill="1" applyAlignment="1" applyProtection="1">
      <alignment horizontal="center"/>
      <protection hidden="1"/>
    </xf>
    <xf numFmtId="0" fontId="6" fillId="5" borderId="0" xfId="0" applyFont="1" applyFill="1" applyAlignment="1" applyProtection="1">
      <alignment horizontal="center"/>
      <protection hidden="1"/>
    </xf>
    <xf numFmtId="0" fontId="25" fillId="5" borderId="0" xfId="0" applyFont="1" applyFill="1" applyAlignment="1" applyProtection="1">
      <alignment horizontal="center"/>
      <protection hidden="1"/>
    </xf>
    <xf numFmtId="4" fontId="4" fillId="0" borderId="22" xfId="0" applyNumberFormat="1" applyFont="1" applyFill="1" applyBorder="1" applyAlignment="1" applyProtection="1">
      <alignment wrapText="1"/>
      <protection hidden="1"/>
    </xf>
    <xf numFmtId="14" fontId="35" fillId="0" borderId="22" xfId="0" applyNumberFormat="1" applyFont="1" applyFill="1" applyBorder="1" applyAlignment="1" applyProtection="1">
      <alignment wrapText="1"/>
      <protection hidden="1"/>
    </xf>
    <xf numFmtId="0" fontId="0" fillId="0" borderId="10" xfId="0" applyFont="1" applyFill="1" applyBorder="1" applyAlignment="1" applyProtection="1">
      <alignment horizontal="left" wrapText="1"/>
      <protection hidden="1"/>
    </xf>
    <xf numFmtId="0" fontId="52" fillId="4" borderId="0" xfId="47" applyFont="1" applyFill="1" applyAlignment="1" applyProtection="1" quotePrefix="1">
      <alignment horizontal="center"/>
      <protection hidden="1"/>
    </xf>
    <xf numFmtId="4" fontId="4" fillId="0" borderId="10" xfId="0" applyNumberFormat="1" applyFont="1" applyFill="1" applyBorder="1" applyAlignment="1" applyProtection="1">
      <alignment horizontal="left" wrapText="1"/>
      <protection hidden="1"/>
    </xf>
    <xf numFmtId="4" fontId="4" fillId="0" borderId="10" xfId="0" applyNumberFormat="1" applyFont="1" applyFill="1" applyBorder="1" applyAlignment="1" applyProtection="1">
      <alignment/>
      <protection hidden="1"/>
    </xf>
    <xf numFmtId="0" fontId="29" fillId="0" borderId="10" xfId="0" applyFont="1" applyFill="1" applyBorder="1" applyAlignment="1" applyProtection="1">
      <alignment/>
      <protection hidden="1"/>
    </xf>
    <xf numFmtId="0" fontId="1" fillId="0" borderId="10" xfId="0" applyFont="1" applyBorder="1" applyAlignment="1">
      <alignment wrapText="1"/>
    </xf>
    <xf numFmtId="0" fontId="113" fillId="0" borderId="10" xfId="0" applyFont="1" applyBorder="1" applyAlignment="1">
      <alignment/>
    </xf>
    <xf numFmtId="9" fontId="113" fillId="0" borderId="10" xfId="0" applyNumberFormat="1" applyFont="1" applyBorder="1" applyAlignment="1">
      <alignment/>
    </xf>
    <xf numFmtId="0" fontId="114" fillId="0" borderId="10" xfId="0" applyFont="1" applyBorder="1" applyAlignment="1">
      <alignment wrapText="1"/>
    </xf>
    <xf numFmtId="0" fontId="114" fillId="0" borderId="26" xfId="0" applyFont="1" applyBorder="1" applyAlignment="1">
      <alignment wrapText="1"/>
    </xf>
    <xf numFmtId="0" fontId="115" fillId="0" borderId="25" xfId="0" applyFont="1" applyBorder="1" applyAlignment="1">
      <alignment/>
    </xf>
    <xf numFmtId="0" fontId="115" fillId="0" borderId="26" xfId="0" applyFont="1" applyBorder="1" applyAlignment="1">
      <alignment wrapText="1"/>
    </xf>
    <xf numFmtId="9" fontId="114" fillId="0" borderId="10" xfId="0" applyNumberFormat="1" applyFont="1" applyBorder="1" applyAlignment="1">
      <alignment horizontal="center" wrapText="1"/>
    </xf>
    <xf numFmtId="9" fontId="114" fillId="0" borderId="10" xfId="0" applyNumberFormat="1" applyFont="1" applyBorder="1" applyAlignment="1">
      <alignment wrapText="1"/>
    </xf>
    <xf numFmtId="0" fontId="20" fillId="40" borderId="10" xfId="0" applyFont="1" applyFill="1" applyBorder="1" applyAlignment="1" applyProtection="1">
      <alignment/>
      <protection hidden="1" locked="0"/>
    </xf>
    <xf numFmtId="0" fontId="116" fillId="4" borderId="0" xfId="0" applyFont="1" applyFill="1" applyAlignment="1" applyProtection="1">
      <alignment/>
      <protection hidden="1"/>
    </xf>
    <xf numFmtId="1" fontId="20" fillId="0" borderId="10" xfId="0" applyNumberFormat="1" applyFont="1" applyFill="1" applyBorder="1" applyAlignment="1" applyProtection="1">
      <alignment wrapText="1"/>
      <protection hidden="1"/>
    </xf>
    <xf numFmtId="14" fontId="0" fillId="0" borderId="0" xfId="0" applyNumberFormat="1" applyAlignment="1" applyProtection="1">
      <alignment/>
      <protection hidden="1"/>
    </xf>
    <xf numFmtId="0" fontId="0" fillId="0" borderId="0" xfId="0" applyAlignment="1" applyProtection="1">
      <alignment horizontal="center"/>
      <protection hidden="1"/>
    </xf>
    <xf numFmtId="0" fontId="0" fillId="0" borderId="10" xfId="0" applyBorder="1" applyAlignment="1" applyProtection="1">
      <alignment horizontal="center"/>
      <protection hidden="1"/>
    </xf>
    <xf numFmtId="0" fontId="60" fillId="41" borderId="25" xfId="0" applyFont="1" applyFill="1" applyBorder="1" applyAlignment="1" applyProtection="1">
      <alignment vertical="center" wrapText="1"/>
      <protection hidden="1"/>
    </xf>
    <xf numFmtId="0" fontId="60" fillId="34" borderId="25" xfId="0" applyFont="1" applyFill="1" applyBorder="1" applyAlignment="1" applyProtection="1">
      <alignment vertical="center"/>
      <protection hidden="1"/>
    </xf>
    <xf numFmtId="0" fontId="0" fillId="0" borderId="0" xfId="0" applyFont="1" applyAlignment="1" applyProtection="1">
      <alignment/>
      <protection hidden="1"/>
    </xf>
    <xf numFmtId="0" fontId="60" fillId="41" borderId="26" xfId="0" applyFont="1" applyFill="1" applyBorder="1" applyAlignment="1" applyProtection="1">
      <alignment vertical="center" wrapText="1"/>
      <protection hidden="1"/>
    </xf>
    <xf numFmtId="0" fontId="60" fillId="34" borderId="26" xfId="0" applyFont="1" applyFill="1" applyBorder="1" applyAlignment="1" applyProtection="1">
      <alignment vertical="center"/>
      <protection hidden="1"/>
    </xf>
    <xf numFmtId="0" fontId="64" fillId="0" borderId="0" xfId="0" applyFont="1" applyAlignment="1" applyProtection="1">
      <alignment horizontal="center"/>
      <protection hidden="1"/>
    </xf>
    <xf numFmtId="0" fontId="65" fillId="0" borderId="10" xfId="0" applyFont="1" applyBorder="1" applyAlignment="1" applyProtection="1">
      <alignment/>
      <protection hidden="1"/>
    </xf>
    <xf numFmtId="0" fontId="67" fillId="0" borderId="10" xfId="0" applyFont="1" applyBorder="1" applyAlignment="1" applyProtection="1">
      <alignment horizontal="center" vertical="center"/>
      <protection hidden="1"/>
    </xf>
    <xf numFmtId="0" fontId="93" fillId="0" borderId="10" xfId="0" applyFont="1" applyBorder="1" applyAlignment="1" applyProtection="1">
      <alignment horizontal="center" vertical="center"/>
      <protection hidden="1"/>
    </xf>
    <xf numFmtId="14" fontId="11" fillId="0" borderId="10" xfId="0" applyNumberFormat="1" applyFont="1" applyBorder="1" applyAlignment="1" applyProtection="1">
      <alignment horizontal="center"/>
      <protection hidden="1"/>
    </xf>
    <xf numFmtId="0" fontId="67" fillId="40" borderId="10" xfId="0" applyFont="1" applyFill="1" applyBorder="1" applyAlignment="1" applyProtection="1">
      <alignment horizontal="center" vertical="center"/>
      <protection hidden="1"/>
    </xf>
    <xf numFmtId="0" fontId="67" fillId="40" borderId="10" xfId="0" applyFont="1" applyFill="1" applyBorder="1" applyAlignment="1" applyProtection="1" quotePrefix="1">
      <alignment horizontal="center" vertical="center"/>
      <protection hidden="1"/>
    </xf>
    <xf numFmtId="193" fontId="0" fillId="0" borderId="10" xfId="0" applyNumberFormat="1" applyBorder="1" applyAlignment="1" applyProtection="1">
      <alignment/>
      <protection hidden="1"/>
    </xf>
    <xf numFmtId="1" fontId="0" fillId="36" borderId="10" xfId="0" applyNumberFormat="1" applyFill="1" applyBorder="1" applyAlignment="1" applyProtection="1">
      <alignment/>
      <protection hidden="1"/>
    </xf>
    <xf numFmtId="1" fontId="0" fillId="33" borderId="10" xfId="0" applyNumberFormat="1" applyFill="1" applyBorder="1" applyAlignment="1" applyProtection="1">
      <alignment/>
      <protection hidden="1"/>
    </xf>
    <xf numFmtId="1" fontId="0" fillId="37" borderId="10" xfId="0" applyNumberFormat="1" applyFill="1" applyBorder="1" applyAlignment="1" applyProtection="1">
      <alignment/>
      <protection hidden="1"/>
    </xf>
    <xf numFmtId="1" fontId="0" fillId="42" borderId="10" xfId="0" applyNumberFormat="1" applyFill="1" applyBorder="1" applyAlignment="1" applyProtection="1">
      <alignment/>
      <protection hidden="1"/>
    </xf>
    <xf numFmtId="1" fontId="0" fillId="38" borderId="10" xfId="0" applyNumberFormat="1" applyFill="1" applyBorder="1" applyAlignment="1" applyProtection="1">
      <alignment/>
      <protection hidden="1"/>
    </xf>
    <xf numFmtId="1" fontId="0" fillId="0" borderId="10" xfId="0" applyNumberFormat="1" applyBorder="1" applyAlignment="1" applyProtection="1">
      <alignment/>
      <protection hidden="1"/>
    </xf>
    <xf numFmtId="49" fontId="0" fillId="0" borderId="10" xfId="0" applyNumberFormat="1" applyBorder="1" applyAlignment="1" applyProtection="1">
      <alignment horizontal="center"/>
      <protection hidden="1"/>
    </xf>
    <xf numFmtId="0" fontId="70" fillId="0" borderId="10" xfId="0" applyFont="1" applyBorder="1" applyAlignment="1" applyProtection="1" quotePrefix="1">
      <alignment horizontal="center" vertical="center"/>
      <protection hidden="1"/>
    </xf>
    <xf numFmtId="0" fontId="33" fillId="0" borderId="10" xfId="0" applyFont="1" applyFill="1" applyBorder="1" applyAlignment="1" applyProtection="1">
      <alignment horizontal="center"/>
      <protection hidden="1"/>
    </xf>
    <xf numFmtId="0" fontId="65" fillId="40" borderId="10" xfId="0" applyFont="1" applyFill="1" applyBorder="1" applyAlignment="1" applyProtection="1">
      <alignment/>
      <protection hidden="1"/>
    </xf>
    <xf numFmtId="0" fontId="33" fillId="40" borderId="10" xfId="0" applyFont="1" applyFill="1" applyBorder="1" applyAlignment="1" applyProtection="1">
      <alignment horizontal="center"/>
      <protection hidden="1"/>
    </xf>
    <xf numFmtId="0" fontId="0" fillId="40" borderId="10" xfId="0" applyFill="1" applyBorder="1" applyAlignment="1" applyProtection="1">
      <alignment horizontal="center"/>
      <protection hidden="1"/>
    </xf>
    <xf numFmtId="0" fontId="0" fillId="40" borderId="0" xfId="0" applyFill="1" applyAlignment="1" applyProtection="1">
      <alignment/>
      <protection hidden="1"/>
    </xf>
    <xf numFmtId="0" fontId="70" fillId="0" borderId="10" xfId="0" applyFont="1" applyBorder="1" applyAlignment="1" applyProtection="1">
      <alignment horizontal="center" vertical="center"/>
      <protection hidden="1"/>
    </xf>
    <xf numFmtId="0" fontId="19" fillId="40" borderId="10" xfId="0" applyFont="1" applyFill="1" applyBorder="1" applyAlignment="1" applyProtection="1" quotePrefix="1">
      <alignment horizontal="center"/>
      <protection hidden="1"/>
    </xf>
    <xf numFmtId="0" fontId="0" fillId="0" borderId="22" xfId="0" applyBorder="1" applyAlignment="1" applyProtection="1">
      <alignment/>
      <protection hidden="1"/>
    </xf>
    <xf numFmtId="0" fontId="67" fillId="0" borderId="22" xfId="0" applyFont="1" applyBorder="1" applyAlignment="1" applyProtection="1">
      <alignment horizontal="center" vertical="center"/>
      <protection hidden="1"/>
    </xf>
    <xf numFmtId="0" fontId="11" fillId="0" borderId="10" xfId="0" applyFont="1" applyBorder="1" applyAlignment="1" applyProtection="1">
      <alignment horizontal="center"/>
      <protection hidden="1"/>
    </xf>
    <xf numFmtId="0" fontId="33" fillId="40" borderId="10" xfId="0" applyFont="1" applyFill="1" applyBorder="1" applyAlignment="1" applyProtection="1">
      <alignment horizontal="center" vertical="center"/>
      <protection hidden="1"/>
    </xf>
    <xf numFmtId="0" fontId="67" fillId="34" borderId="22" xfId="0" applyFont="1" applyFill="1" applyBorder="1" applyAlignment="1" applyProtection="1">
      <alignment horizontal="center" vertical="center"/>
      <protection hidden="1"/>
    </xf>
    <xf numFmtId="0" fontId="67" fillId="43" borderId="22" xfId="0" applyFont="1" applyFill="1" applyBorder="1" applyAlignment="1" applyProtection="1">
      <alignment horizontal="center" vertical="center"/>
      <protection hidden="1"/>
    </xf>
    <xf numFmtId="49" fontId="33" fillId="0" borderId="10" xfId="0" applyNumberFormat="1" applyFont="1" applyBorder="1" applyAlignment="1" applyProtection="1">
      <alignment horizontal="center"/>
      <protection hidden="1"/>
    </xf>
    <xf numFmtId="49" fontId="68" fillId="40" borderId="10"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center"/>
      <protection hidden="1"/>
    </xf>
    <xf numFmtId="211" fontId="0" fillId="0" borderId="0" xfId="0" applyNumberFormat="1" applyAlignment="1" applyProtection="1">
      <alignment/>
      <protection hidden="1"/>
    </xf>
    <xf numFmtId="0" fontId="11" fillId="0" borderId="0" xfId="0" applyFont="1" applyAlignment="1" applyProtection="1">
      <alignment horizontal="center"/>
      <protection hidden="1"/>
    </xf>
    <xf numFmtId="0" fontId="0" fillId="34" borderId="10" xfId="0" applyFill="1" applyBorder="1" applyAlignment="1" applyProtection="1">
      <alignment/>
      <protection hidden="1"/>
    </xf>
    <xf numFmtId="0" fontId="0" fillId="0" borderId="10" xfId="0" applyFont="1" applyBorder="1" applyAlignment="1" applyProtection="1">
      <alignment/>
      <protection hidden="1"/>
    </xf>
    <xf numFmtId="4" fontId="0" fillId="0" borderId="10" xfId="0" applyNumberFormat="1" applyBorder="1" applyAlignment="1" applyProtection="1">
      <alignment/>
      <protection hidden="1"/>
    </xf>
    <xf numFmtId="0" fontId="13" fillId="44" borderId="10" xfId="0" applyFont="1" applyFill="1" applyBorder="1" applyAlignment="1" applyProtection="1">
      <alignment/>
      <protection hidden="1"/>
    </xf>
    <xf numFmtId="0" fontId="13" fillId="0" borderId="10" xfId="0" applyFont="1" applyBorder="1" applyAlignment="1" applyProtection="1">
      <alignment/>
      <protection hidden="1"/>
    </xf>
    <xf numFmtId="4" fontId="13" fillId="0" borderId="10" xfId="0" applyNumberFormat="1" applyFont="1" applyBorder="1" applyAlignment="1" applyProtection="1">
      <alignment/>
      <protection hidden="1"/>
    </xf>
    <xf numFmtId="0" fontId="14" fillId="0" borderId="10" xfId="0" applyFont="1" applyBorder="1" applyAlignment="1" applyProtection="1">
      <alignment/>
      <protection hidden="1"/>
    </xf>
    <xf numFmtId="4" fontId="14" fillId="0" borderId="10" xfId="0" applyNumberFormat="1" applyFont="1" applyBorder="1" applyAlignment="1" applyProtection="1">
      <alignment/>
      <protection hidden="1"/>
    </xf>
    <xf numFmtId="0" fontId="36" fillId="0" borderId="10" xfId="0" applyFont="1" applyBorder="1" applyAlignment="1" applyProtection="1">
      <alignment/>
      <protection hidden="1"/>
    </xf>
    <xf numFmtId="4" fontId="36" fillId="0" borderId="10" xfId="0" applyNumberFormat="1" applyFont="1" applyBorder="1" applyAlignment="1" applyProtection="1">
      <alignment/>
      <protection hidden="1"/>
    </xf>
    <xf numFmtId="0" fontId="0" fillId="33" borderId="10" xfId="0" applyFill="1" applyBorder="1" applyAlignment="1" applyProtection="1">
      <alignment/>
      <protection hidden="1"/>
    </xf>
    <xf numFmtId="0" fontId="3" fillId="0" borderId="10" xfId="0" applyFont="1" applyBorder="1" applyAlignment="1" applyProtection="1">
      <alignment/>
      <protection hidden="1"/>
    </xf>
    <xf numFmtId="4" fontId="0" fillId="33" borderId="10" xfId="0" applyNumberFormat="1" applyFill="1" applyBorder="1" applyAlignment="1" applyProtection="1">
      <alignment/>
      <protection hidden="1"/>
    </xf>
    <xf numFmtId="0" fontId="36" fillId="0" borderId="0" xfId="0" applyFont="1" applyAlignment="1" applyProtection="1">
      <alignment/>
      <protection hidden="1"/>
    </xf>
    <xf numFmtId="2" fontId="4" fillId="34" borderId="10" xfId="0" applyNumberFormat="1" applyFont="1" applyFill="1" applyBorder="1" applyAlignment="1" applyProtection="1">
      <alignment wrapText="1"/>
      <protection hidden="1"/>
    </xf>
    <xf numFmtId="3" fontId="5" fillId="34" borderId="10" xfId="0" applyNumberFormat="1" applyFont="1" applyFill="1" applyBorder="1" applyAlignment="1" applyProtection="1">
      <alignment/>
      <protection hidden="1"/>
    </xf>
    <xf numFmtId="0" fontId="15" fillId="0" borderId="0" xfId="0" applyFont="1" applyAlignment="1" applyProtection="1">
      <alignment/>
      <protection hidden="1"/>
    </xf>
    <xf numFmtId="0" fontId="0" fillId="36" borderId="10" xfId="0" applyFont="1" applyFill="1" applyBorder="1" applyAlignment="1" applyProtection="1">
      <alignment wrapText="1"/>
      <protection hidden="1"/>
    </xf>
    <xf numFmtId="3" fontId="5" fillId="36" borderId="10" xfId="0" applyNumberFormat="1" applyFont="1" applyFill="1" applyBorder="1" applyAlignment="1" applyProtection="1">
      <alignment/>
      <protection hidden="1"/>
    </xf>
    <xf numFmtId="0" fontId="0" fillId="34" borderId="10" xfId="0" applyFill="1" applyBorder="1" applyAlignment="1" applyProtection="1">
      <alignment wrapText="1"/>
      <protection hidden="1"/>
    </xf>
    <xf numFmtId="0" fontId="4" fillId="34" borderId="10" xfId="0" applyFont="1" applyFill="1" applyBorder="1" applyAlignment="1" applyProtection="1">
      <alignment/>
      <protection hidden="1"/>
    </xf>
    <xf numFmtId="0" fontId="0" fillId="0" borderId="0" xfId="0" applyBorder="1" applyAlignment="1" applyProtection="1">
      <alignment/>
      <protection hidden="1"/>
    </xf>
    <xf numFmtId="4" fontId="0" fillId="0" borderId="0" xfId="0" applyNumberFormat="1" applyFont="1" applyBorder="1" applyAlignment="1" applyProtection="1">
      <alignment horizontal="center" wrapText="1"/>
      <protection hidden="1"/>
    </xf>
    <xf numFmtId="0" fontId="36" fillId="0" borderId="10" xfId="0" applyFont="1" applyBorder="1" applyAlignment="1" applyProtection="1">
      <alignment horizontal="center"/>
      <protection hidden="1"/>
    </xf>
    <xf numFmtId="0" fontId="0" fillId="37" borderId="10" xfId="0" applyFill="1" applyBorder="1" applyAlignment="1" applyProtection="1">
      <alignment wrapText="1"/>
      <protection hidden="1"/>
    </xf>
    <xf numFmtId="0" fontId="4" fillId="37" borderId="10" xfId="0" applyFont="1" applyFill="1" applyBorder="1" applyAlignment="1" applyProtection="1">
      <alignment/>
      <protection hidden="1"/>
    </xf>
    <xf numFmtId="0" fontId="4" fillId="33" borderId="10" xfId="0" applyFont="1" applyFill="1" applyBorder="1" applyAlignment="1" applyProtection="1">
      <alignment/>
      <protection hidden="1"/>
    </xf>
    <xf numFmtId="0" fontId="1" fillId="0" borderId="0" xfId="0" applyFont="1" applyAlignment="1" applyProtection="1">
      <alignment horizontal="left"/>
      <protection hidden="1"/>
    </xf>
    <xf numFmtId="0" fontId="4" fillId="34" borderId="10" xfId="0" applyFont="1" applyFill="1" applyBorder="1" applyAlignment="1" applyProtection="1">
      <alignment/>
      <protection hidden="1"/>
    </xf>
    <xf numFmtId="0" fontId="0" fillId="0" borderId="23" xfId="0" applyBorder="1" applyAlignment="1" applyProtection="1">
      <alignment/>
      <protection hidden="1"/>
    </xf>
    <xf numFmtId="1" fontId="0" fillId="0" borderId="27" xfId="0" applyNumberFormat="1" applyBorder="1" applyAlignment="1" applyProtection="1">
      <alignment/>
      <protection hidden="1"/>
    </xf>
    <xf numFmtId="4" fontId="0" fillId="0" borderId="10" xfId="0" applyNumberFormat="1" applyBorder="1" applyAlignment="1" applyProtection="1">
      <alignment/>
      <protection hidden="1" locked="0"/>
    </xf>
    <xf numFmtId="0" fontId="3" fillId="0" borderId="10" xfId="0" applyFont="1" applyBorder="1" applyAlignment="1" applyProtection="1">
      <alignment/>
      <protection hidden="1" locked="0"/>
    </xf>
    <xf numFmtId="4" fontId="0" fillId="0" borderId="10" xfId="0" applyNumberFormat="1" applyFont="1" applyBorder="1" applyAlignment="1" applyProtection="1">
      <alignment horizontal="center" wrapText="1"/>
      <protection hidden="1" locked="0"/>
    </xf>
    <xf numFmtId="0" fontId="0" fillId="0" borderId="10" xfId="0" applyBorder="1" applyAlignment="1" applyProtection="1">
      <alignment horizontal="center"/>
      <protection hidden="1" locked="0"/>
    </xf>
    <xf numFmtId="3" fontId="115" fillId="0" borderId="26" xfId="0" applyNumberFormat="1" applyFont="1" applyBorder="1" applyAlignment="1">
      <alignment wrapText="1"/>
    </xf>
    <xf numFmtId="4" fontId="113" fillId="0" borderId="10" xfId="0" applyNumberFormat="1" applyFont="1" applyBorder="1" applyAlignment="1">
      <alignment/>
    </xf>
    <xf numFmtId="3" fontId="113" fillId="0" borderId="10" xfId="0" applyNumberFormat="1" applyFont="1" applyBorder="1" applyAlignment="1">
      <alignment/>
    </xf>
    <xf numFmtId="0" fontId="19" fillId="36" borderId="10" xfId="0" applyFont="1" applyFill="1" applyBorder="1" applyAlignment="1" applyProtection="1">
      <alignment horizontal="left"/>
      <protection hidden="1" locked="0"/>
    </xf>
    <xf numFmtId="0" fontId="67" fillId="36" borderId="0" xfId="0" applyFont="1" applyFill="1" applyAlignment="1" applyProtection="1">
      <alignment horizontal="left" vertical="center"/>
      <protection hidden="1" locked="0"/>
    </xf>
    <xf numFmtId="0" fontId="67" fillId="36" borderId="10" xfId="0" applyFont="1" applyFill="1" applyBorder="1" applyAlignment="1" applyProtection="1">
      <alignment horizontal="left" vertical="center"/>
      <protection hidden="1" locked="0"/>
    </xf>
    <xf numFmtId="0" fontId="73" fillId="36" borderId="10" xfId="0" applyFont="1" applyFill="1" applyBorder="1" applyAlignment="1" applyProtection="1">
      <alignment horizontal="left"/>
      <protection hidden="1" locked="0"/>
    </xf>
    <xf numFmtId="4" fontId="67" fillId="5" borderId="10" xfId="0" applyNumberFormat="1" applyFont="1" applyFill="1" applyBorder="1" applyAlignment="1" applyProtection="1">
      <alignment horizontal="center" vertical="center"/>
      <protection hidden="1" locked="0"/>
    </xf>
    <xf numFmtId="0" fontId="67" fillId="0" borderId="10" xfId="0" applyFont="1" applyBorder="1" applyAlignment="1" applyProtection="1">
      <alignment horizontal="center" vertical="center"/>
      <protection hidden="1" locked="0"/>
    </xf>
    <xf numFmtId="0" fontId="0" fillId="43" borderId="10" xfId="0" applyFill="1" applyBorder="1" applyAlignment="1" applyProtection="1">
      <alignment horizontal="center"/>
      <protection hidden="1" locked="0"/>
    </xf>
    <xf numFmtId="0" fontId="0" fillId="43" borderId="0" xfId="0" applyFill="1" applyAlignment="1" applyProtection="1">
      <alignment horizontal="center"/>
      <protection hidden="1" locked="0"/>
    </xf>
    <xf numFmtId="0" fontId="0" fillId="43" borderId="0" xfId="0" applyFont="1" applyFill="1" applyAlignment="1" applyProtection="1">
      <alignment/>
      <protection hidden="1"/>
    </xf>
    <xf numFmtId="14" fontId="117" fillId="10" borderId="0" xfId="0" applyNumberFormat="1" applyFont="1" applyFill="1" applyAlignment="1" applyProtection="1">
      <alignment/>
      <protection hidden="1" locked="0"/>
    </xf>
    <xf numFmtId="14" fontId="0" fillId="33" borderId="10" xfId="0" applyNumberFormat="1" applyFill="1" applyBorder="1" applyAlignment="1" applyProtection="1">
      <alignment/>
      <protection hidden="1" locked="0"/>
    </xf>
    <xf numFmtId="14" fontId="0" fillId="37" borderId="10" xfId="0" applyNumberFormat="1" applyFill="1" applyBorder="1" applyAlignment="1" applyProtection="1">
      <alignment/>
      <protection hidden="1" locked="0"/>
    </xf>
    <xf numFmtId="14" fontId="0" fillId="42" borderId="10" xfId="0" applyNumberFormat="1" applyFill="1" applyBorder="1" applyAlignment="1" applyProtection="1">
      <alignment/>
      <protection hidden="1" locked="0"/>
    </xf>
    <xf numFmtId="14" fontId="0" fillId="38" borderId="10" xfId="0" applyNumberFormat="1" applyFill="1" applyBorder="1" applyAlignment="1" applyProtection="1">
      <alignment/>
      <protection hidden="1" locked="0"/>
    </xf>
    <xf numFmtId="14" fontId="0" fillId="40" borderId="10" xfId="0" applyNumberFormat="1" applyFill="1" applyBorder="1" applyAlignment="1" applyProtection="1">
      <alignment/>
      <protection hidden="1" locked="0"/>
    </xf>
    <xf numFmtId="14" fontId="70" fillId="37" borderId="10" xfId="0" applyNumberFormat="1" applyFont="1" applyFill="1" applyBorder="1" applyAlignment="1" applyProtection="1" quotePrefix="1">
      <alignment horizontal="center" vertical="center"/>
      <protection hidden="1" locked="0"/>
    </xf>
    <xf numFmtId="1" fontId="69" fillId="37" borderId="10" xfId="0" applyNumberFormat="1" applyFont="1" applyFill="1" applyBorder="1" applyAlignment="1" applyProtection="1" quotePrefix="1">
      <alignment horizontal="center" vertical="center"/>
      <protection hidden="1" locked="0"/>
    </xf>
    <xf numFmtId="0" fontId="69" fillId="37" borderId="10" xfId="0" applyFont="1" applyFill="1" applyBorder="1" applyAlignment="1" applyProtection="1">
      <alignment horizontal="center" vertical="center"/>
      <protection hidden="1" locked="0"/>
    </xf>
    <xf numFmtId="209" fontId="71" fillId="34" borderId="10" xfId="0" applyNumberFormat="1" applyFont="1" applyFill="1" applyBorder="1" applyAlignment="1" applyProtection="1">
      <alignment horizontal="center" vertical="center"/>
      <protection hidden="1" locked="0"/>
    </xf>
    <xf numFmtId="0" fontId="71" fillId="34" borderId="10" xfId="0" applyFont="1" applyFill="1" applyBorder="1" applyAlignment="1" applyProtection="1">
      <alignment horizontal="center" vertical="center"/>
      <protection hidden="1" locked="0"/>
    </xf>
    <xf numFmtId="0" fontId="70" fillId="37" borderId="10" xfId="0" applyFont="1" applyFill="1" applyBorder="1" applyAlignment="1" applyProtection="1" quotePrefix="1">
      <alignment horizontal="center" vertical="center"/>
      <protection hidden="1" locked="0"/>
    </xf>
    <xf numFmtId="14" fontId="71" fillId="34" borderId="10" xfId="0" applyNumberFormat="1" applyFont="1" applyFill="1" applyBorder="1" applyAlignment="1" applyProtection="1">
      <alignment horizontal="center" vertical="center"/>
      <protection hidden="1" locked="0"/>
    </xf>
    <xf numFmtId="0" fontId="0" fillId="36" borderId="10" xfId="0" applyFill="1" applyBorder="1" applyAlignment="1" applyProtection="1">
      <alignment/>
      <protection hidden="1" locked="0"/>
    </xf>
    <xf numFmtId="0" fontId="0" fillId="36" borderId="10" xfId="0" applyFill="1" applyBorder="1" applyAlignment="1" applyProtection="1">
      <alignment horizontal="center" wrapText="1"/>
      <protection hidden="1" locked="0"/>
    </xf>
    <xf numFmtId="0" fontId="0" fillId="36" borderId="10" xfId="0" applyFill="1" applyBorder="1" applyAlignment="1" applyProtection="1">
      <alignment wrapText="1"/>
      <protection hidden="1" locked="0"/>
    </xf>
    <xf numFmtId="0" fontId="0" fillId="0" borderId="10" xfId="0" applyFont="1" applyBorder="1" applyAlignment="1" applyProtection="1">
      <alignment/>
      <protection hidden="1" locked="0"/>
    </xf>
    <xf numFmtId="0" fontId="0" fillId="0" borderId="25" xfId="0" applyFont="1" applyBorder="1" applyAlignment="1" applyProtection="1">
      <alignment/>
      <protection hidden="1"/>
    </xf>
    <xf numFmtId="0" fontId="0" fillId="0" borderId="26" xfId="0" applyBorder="1" applyAlignment="1" applyProtection="1">
      <alignment/>
      <protection hidden="1"/>
    </xf>
    <xf numFmtId="0" fontId="65" fillId="0" borderId="10" xfId="0" applyFont="1" applyBorder="1" applyAlignment="1" applyProtection="1">
      <alignment horizontal="center" vertical="center"/>
      <protection hidden="1" locked="0"/>
    </xf>
    <xf numFmtId="0" fontId="66" fillId="0" borderId="10" xfId="0" applyFont="1" applyBorder="1" applyAlignment="1" applyProtection="1">
      <alignment horizontal="center" vertical="center" wrapText="1"/>
      <protection hidden="1" locked="0"/>
    </xf>
    <xf numFmtId="0" fontId="72" fillId="0" borderId="10" xfId="0" applyFont="1" applyBorder="1" applyAlignment="1" applyProtection="1">
      <alignment horizontal="center" vertical="center" shrinkToFit="1"/>
      <protection hidden="1" locked="0"/>
    </xf>
    <xf numFmtId="14" fontId="67" fillId="0" borderId="10" xfId="0" applyNumberFormat="1" applyFont="1" applyBorder="1" applyAlignment="1" applyProtection="1">
      <alignment horizontal="center" vertical="center"/>
      <protection hidden="1" locked="0"/>
    </xf>
    <xf numFmtId="14" fontId="0" fillId="0" borderId="10" xfId="0" applyNumberFormat="1" applyBorder="1" applyAlignment="1" applyProtection="1">
      <alignment/>
      <protection hidden="1" locked="0"/>
    </xf>
    <xf numFmtId="209" fontId="71" fillId="43" borderId="10" xfId="0" applyNumberFormat="1" applyFont="1" applyFill="1" applyBorder="1" applyAlignment="1" applyProtection="1">
      <alignment horizontal="center" vertical="center"/>
      <protection hidden="1" locked="0"/>
    </xf>
    <xf numFmtId="0" fontId="71" fillId="43" borderId="10" xfId="0" applyFont="1" applyFill="1" applyBorder="1" applyAlignment="1" applyProtection="1">
      <alignment horizontal="center" vertical="center"/>
      <protection hidden="1" locked="0"/>
    </xf>
    <xf numFmtId="16" fontId="70" fillId="37" borderId="10" xfId="0" applyNumberFormat="1" applyFont="1" applyFill="1" applyBorder="1" applyAlignment="1" applyProtection="1" quotePrefix="1">
      <alignment horizontal="center" vertical="center"/>
      <protection hidden="1" locked="0"/>
    </xf>
    <xf numFmtId="0" fontId="0" fillId="40" borderId="10" xfId="0" applyFill="1" applyBorder="1" applyAlignment="1" applyProtection="1">
      <alignment/>
      <protection hidden="1" locked="0"/>
    </xf>
    <xf numFmtId="0" fontId="0" fillId="43" borderId="0" xfId="0" applyFill="1" applyBorder="1" applyAlignment="1" applyProtection="1">
      <alignment horizontal="center"/>
      <protection hidden="1" locked="0"/>
    </xf>
    <xf numFmtId="0" fontId="67" fillId="40" borderId="10" xfId="0" applyFont="1" applyFill="1" applyBorder="1" applyAlignment="1" applyProtection="1">
      <alignment horizontal="center" vertical="center"/>
      <protection hidden="1" locked="0"/>
    </xf>
    <xf numFmtId="0" fontId="1" fillId="7" borderId="22" xfId="0" applyFont="1" applyFill="1" applyBorder="1" applyAlignment="1" applyProtection="1">
      <alignment horizontal="center" wrapText="1"/>
      <protection hidden="1"/>
    </xf>
    <xf numFmtId="0" fontId="1" fillId="7" borderId="28" xfId="0" applyFont="1" applyFill="1" applyBorder="1" applyAlignment="1" applyProtection="1">
      <alignment horizontal="center" wrapText="1"/>
      <protection hidden="1"/>
    </xf>
    <xf numFmtId="0" fontId="38" fillId="34" borderId="29" xfId="0" applyFont="1" applyFill="1" applyBorder="1" applyAlignment="1" applyProtection="1">
      <alignment horizontal="center"/>
      <protection hidden="1"/>
    </xf>
    <xf numFmtId="0" fontId="38" fillId="34" borderId="30" xfId="0" applyFont="1" applyFill="1" applyBorder="1" applyAlignment="1" applyProtection="1">
      <alignment horizontal="center"/>
      <protection hidden="1"/>
    </xf>
    <xf numFmtId="0" fontId="0" fillId="33" borderId="31" xfId="0" applyFill="1" applyBorder="1" applyAlignment="1" applyProtection="1">
      <alignment horizontal="center"/>
      <protection hidden="1"/>
    </xf>
    <xf numFmtId="1" fontId="118" fillId="40" borderId="10" xfId="0" applyNumberFormat="1" applyFont="1" applyFill="1" applyBorder="1" applyAlignment="1" applyProtection="1">
      <alignment horizontal="center"/>
      <protection hidden="1" locked="0"/>
    </xf>
    <xf numFmtId="4" fontId="20" fillId="40" borderId="10" xfId="0" applyNumberFormat="1" applyFont="1" applyFill="1" applyBorder="1" applyAlignment="1" applyProtection="1">
      <alignment horizontal="center"/>
      <protection hidden="1"/>
    </xf>
    <xf numFmtId="0" fontId="1" fillId="38" borderId="22" xfId="0" applyFont="1" applyFill="1" applyBorder="1" applyAlignment="1" applyProtection="1">
      <alignment horizontal="center" wrapText="1"/>
      <protection hidden="1"/>
    </xf>
    <xf numFmtId="0" fontId="1" fillId="38" borderId="28" xfId="0" applyFont="1" applyFill="1" applyBorder="1" applyAlignment="1" applyProtection="1">
      <alignment horizontal="center" wrapText="1"/>
      <protection hidden="1"/>
    </xf>
    <xf numFmtId="4" fontId="6" fillId="0" borderId="10" xfId="0" applyNumberFormat="1" applyFont="1" applyBorder="1" applyAlignment="1" applyProtection="1">
      <alignment horizontal="center"/>
      <protection hidden="1" locked="0"/>
    </xf>
    <xf numFmtId="4" fontId="0" fillId="0" borderId="22" xfId="0" applyNumberFormat="1" applyBorder="1" applyAlignment="1" applyProtection="1">
      <alignment horizontal="center"/>
      <protection hidden="1" locked="0"/>
    </xf>
    <xf numFmtId="4" fontId="0" fillId="0" borderId="28" xfId="0" applyNumberFormat="1" applyBorder="1" applyAlignment="1" applyProtection="1">
      <alignment horizontal="center"/>
      <protection hidden="1" locked="0"/>
    </xf>
    <xf numFmtId="1" fontId="20" fillId="40" borderId="10" xfId="0" applyNumberFormat="1" applyFont="1" applyFill="1" applyBorder="1" applyAlignment="1" applyProtection="1">
      <alignment horizontal="center"/>
      <protection hidden="1"/>
    </xf>
    <xf numFmtId="0" fontId="1" fillId="38" borderId="10" xfId="0" applyFont="1" applyFill="1" applyBorder="1" applyAlignment="1" applyProtection="1">
      <alignment horizontal="center"/>
      <protection hidden="1"/>
    </xf>
    <xf numFmtId="0" fontId="23" fillId="33" borderId="29" xfId="0" applyFont="1" applyFill="1" applyBorder="1" applyAlignment="1" applyProtection="1">
      <alignment horizontal="center"/>
      <protection hidden="1"/>
    </xf>
    <xf numFmtId="0" fontId="23" fillId="33" borderId="32" xfId="0" applyFont="1" applyFill="1" applyBorder="1" applyAlignment="1" applyProtection="1">
      <alignment horizontal="center"/>
      <protection hidden="1"/>
    </xf>
    <xf numFmtId="0" fontId="0" fillId="34" borderId="31" xfId="0" applyFill="1" applyBorder="1" applyAlignment="1" applyProtection="1">
      <alignment horizontal="center"/>
      <protection hidden="1"/>
    </xf>
    <xf numFmtId="0" fontId="39" fillId="33" borderId="29" xfId="0" applyFont="1" applyFill="1" applyBorder="1" applyAlignment="1" applyProtection="1">
      <alignment horizontal="center" wrapText="1"/>
      <protection hidden="1"/>
    </xf>
    <xf numFmtId="0" fontId="39" fillId="33" borderId="32" xfId="0" applyFont="1" applyFill="1" applyBorder="1" applyAlignment="1" applyProtection="1">
      <alignment horizontal="center" wrapText="1"/>
      <protection hidden="1"/>
    </xf>
    <xf numFmtId="0" fontId="38" fillId="33" borderId="29" xfId="0" applyFont="1" applyFill="1" applyBorder="1" applyAlignment="1" applyProtection="1">
      <alignment horizontal="center"/>
      <protection hidden="1"/>
    </xf>
    <xf numFmtId="0" fontId="38" fillId="33" borderId="30" xfId="0" applyFont="1" applyFill="1" applyBorder="1" applyAlignment="1" applyProtection="1">
      <alignment horizontal="center"/>
      <protection hidden="1"/>
    </xf>
    <xf numFmtId="0" fontId="23" fillId="34" borderId="29" xfId="0" applyFont="1" applyFill="1" applyBorder="1" applyAlignment="1" applyProtection="1">
      <alignment horizontal="center"/>
      <protection hidden="1"/>
    </xf>
    <xf numFmtId="0" fontId="23" fillId="34" borderId="32" xfId="0" applyFont="1" applyFill="1" applyBorder="1" applyAlignment="1" applyProtection="1">
      <alignment horizontal="center"/>
      <protection hidden="1"/>
    </xf>
    <xf numFmtId="0" fontId="39" fillId="34" borderId="29" xfId="0" applyFont="1" applyFill="1" applyBorder="1" applyAlignment="1" applyProtection="1">
      <alignment horizontal="center" wrapText="1"/>
      <protection hidden="1"/>
    </xf>
    <xf numFmtId="0" fontId="39" fillId="34" borderId="32" xfId="0" applyFont="1" applyFill="1" applyBorder="1" applyAlignment="1" applyProtection="1">
      <alignment horizontal="center" wrapText="1"/>
      <protection hidden="1"/>
    </xf>
    <xf numFmtId="1" fontId="20" fillId="0" borderId="0" xfId="0" applyNumberFormat="1" applyFont="1" applyAlignment="1" applyProtection="1">
      <alignment horizontal="center"/>
      <protection hidden="1"/>
    </xf>
    <xf numFmtId="0" fontId="6" fillId="4" borderId="33" xfId="0" applyFont="1" applyFill="1" applyBorder="1" applyAlignment="1" applyProtection="1">
      <alignment horizontal="center"/>
      <protection hidden="1"/>
    </xf>
    <xf numFmtId="0" fontId="6" fillId="4" borderId="0" xfId="0" applyFont="1" applyFill="1" applyAlignment="1" applyProtection="1">
      <alignment horizontal="center"/>
      <protection hidden="1"/>
    </xf>
    <xf numFmtId="0" fontId="6" fillId="4" borderId="0" xfId="0" applyFont="1" applyFill="1" applyBorder="1" applyAlignment="1" applyProtection="1">
      <alignment horizontal="center"/>
      <protection hidden="1"/>
    </xf>
    <xf numFmtId="0" fontId="55" fillId="4" borderId="0" xfId="0" applyFont="1" applyFill="1" applyAlignment="1" applyProtection="1">
      <alignment horizontal="center"/>
      <protection hidden="1"/>
    </xf>
    <xf numFmtId="0" fontId="1" fillId="7" borderId="22" xfId="0" applyFont="1" applyFill="1" applyBorder="1" applyAlignment="1" applyProtection="1">
      <alignment horizontal="center"/>
      <protection hidden="1"/>
    </xf>
    <xf numFmtId="0" fontId="1" fillId="7" borderId="28" xfId="0" applyFont="1" applyFill="1" applyBorder="1" applyAlignment="1" applyProtection="1">
      <alignment horizontal="center"/>
      <protection hidden="1"/>
    </xf>
    <xf numFmtId="0" fontId="4" fillId="0" borderId="10" xfId="0" applyFont="1" applyBorder="1" applyAlignment="1" applyProtection="1">
      <alignment horizontal="center"/>
      <protection hidden="1" locked="0"/>
    </xf>
    <xf numFmtId="0" fontId="1" fillId="7" borderId="10" xfId="0" applyFont="1" applyFill="1" applyBorder="1" applyAlignment="1" applyProtection="1">
      <alignment horizontal="center"/>
      <protection hidden="1"/>
    </xf>
    <xf numFmtId="0" fontId="52" fillId="4" borderId="0" xfId="47" applyFont="1" applyFill="1" applyAlignment="1" applyProtection="1">
      <alignment horizontal="center"/>
      <protection hidden="1"/>
    </xf>
    <xf numFmtId="0" fontId="52" fillId="4" borderId="0" xfId="47" applyFont="1" applyFill="1" applyAlignment="1" applyProtection="1" quotePrefix="1">
      <alignment horizontal="center"/>
      <protection hidden="1"/>
    </xf>
    <xf numFmtId="0" fontId="28" fillId="0" borderId="0" xfId="0" applyFont="1" applyAlignment="1" applyProtection="1">
      <alignment horizontal="left"/>
      <protection hidden="1" locked="0"/>
    </xf>
    <xf numFmtId="0" fontId="20" fillId="0" borderId="0" xfId="0" applyFont="1" applyAlignment="1" applyProtection="1">
      <alignment horizontal="left"/>
      <protection hidden="1" locked="0"/>
    </xf>
    <xf numFmtId="14" fontId="20" fillId="0" borderId="0" xfId="0" applyNumberFormat="1" applyFont="1" applyAlignment="1" applyProtection="1">
      <alignment horizontal="center"/>
      <protection hidden="1" locked="0"/>
    </xf>
    <xf numFmtId="0" fontId="16" fillId="4" borderId="0" xfId="47" applyFill="1" applyAlignment="1" applyProtection="1" quotePrefix="1">
      <alignment horizontal="center"/>
      <protection hidden="1"/>
    </xf>
    <xf numFmtId="0" fontId="119" fillId="4" borderId="0" xfId="0" applyFont="1" applyFill="1" applyAlignment="1" applyProtection="1">
      <alignment horizontal="center"/>
      <protection hidden="1"/>
    </xf>
    <xf numFmtId="0" fontId="30" fillId="0" borderId="0" xfId="0" applyFont="1" applyAlignment="1" applyProtection="1">
      <alignment horizontal="left" wrapText="1"/>
      <protection hidden="1" locked="0"/>
    </xf>
    <xf numFmtId="4" fontId="6" fillId="0" borderId="0" xfId="0" applyNumberFormat="1" applyFont="1" applyAlignment="1" applyProtection="1">
      <alignment horizontal="center"/>
      <protection hidden="1"/>
    </xf>
    <xf numFmtId="4" fontId="6" fillId="0" borderId="0" xfId="0" applyNumberFormat="1" applyFont="1" applyAlignment="1" applyProtection="1">
      <alignment horizontal="center"/>
      <protection hidden="1" locked="0"/>
    </xf>
    <xf numFmtId="4" fontId="20" fillId="40" borderId="22" xfId="0" applyNumberFormat="1" applyFont="1" applyFill="1" applyBorder="1" applyAlignment="1" applyProtection="1">
      <alignment horizontal="center"/>
      <protection hidden="1"/>
    </xf>
    <xf numFmtId="4" fontId="20" fillId="40" borderId="34" xfId="0" applyNumberFormat="1" applyFont="1" applyFill="1" applyBorder="1" applyAlignment="1" applyProtection="1">
      <alignment horizontal="center"/>
      <protection hidden="1"/>
    </xf>
    <xf numFmtId="4" fontId="20" fillId="40" borderId="28" xfId="0" applyNumberFormat="1" applyFont="1" applyFill="1" applyBorder="1" applyAlignment="1" applyProtection="1">
      <alignment horizontal="center"/>
      <protection hidden="1"/>
    </xf>
    <xf numFmtId="0" fontId="28" fillId="0" borderId="0" xfId="0" applyFont="1" applyAlignment="1" applyProtection="1">
      <alignment horizontal="left"/>
      <protection hidden="1"/>
    </xf>
    <xf numFmtId="1" fontId="6" fillId="0" borderId="0" xfId="0" applyNumberFormat="1" applyFont="1" applyAlignment="1" applyProtection="1">
      <alignment horizontal="center"/>
      <protection hidden="1" locked="0"/>
    </xf>
    <xf numFmtId="0" fontId="57" fillId="0" borderId="0" xfId="0" applyFont="1" applyAlignment="1" applyProtection="1">
      <alignment horizontal="center"/>
      <protection hidden="1" locked="0"/>
    </xf>
    <xf numFmtId="3" fontId="20" fillId="0" borderId="10" xfId="0" applyNumberFormat="1" applyFont="1" applyFill="1" applyBorder="1" applyAlignment="1" applyProtection="1">
      <alignment horizontal="center" wrapText="1"/>
      <protection hidden="1"/>
    </xf>
    <xf numFmtId="3" fontId="20" fillId="0" borderId="10" xfId="0" applyNumberFormat="1" applyFont="1" applyFill="1" applyBorder="1" applyAlignment="1" applyProtection="1">
      <alignment horizontal="center" wrapText="1"/>
      <protection hidden="1" locked="0"/>
    </xf>
    <xf numFmtId="0" fontId="4" fillId="36" borderId="35" xfId="0" applyFont="1" applyFill="1" applyBorder="1" applyAlignment="1" applyProtection="1">
      <alignment horizontal="center" wrapText="1"/>
      <protection hidden="1"/>
    </xf>
    <xf numFmtId="0" fontId="4" fillId="36" borderId="36" xfId="0" applyFont="1" applyFill="1" applyBorder="1" applyAlignment="1" applyProtection="1">
      <alignment horizontal="center" wrapText="1"/>
      <protection hidden="1"/>
    </xf>
    <xf numFmtId="1" fontId="6" fillId="0" borderId="10" xfId="0" applyNumberFormat="1" applyFont="1" applyBorder="1" applyAlignment="1" applyProtection="1">
      <alignment horizontal="center"/>
      <protection hidden="1" locked="0"/>
    </xf>
    <xf numFmtId="193" fontId="20" fillId="40" borderId="22" xfId="0" applyNumberFormat="1" applyFont="1" applyFill="1" applyBorder="1" applyAlignment="1" applyProtection="1">
      <alignment horizontal="center"/>
      <protection hidden="1"/>
    </xf>
    <xf numFmtId="193" fontId="20" fillId="40" borderId="34" xfId="0" applyNumberFormat="1" applyFont="1" applyFill="1" applyBorder="1" applyAlignment="1" applyProtection="1">
      <alignment horizontal="center"/>
      <protection hidden="1"/>
    </xf>
    <xf numFmtId="193" fontId="20" fillId="40" borderId="28" xfId="0" applyNumberFormat="1" applyFont="1" applyFill="1" applyBorder="1" applyAlignment="1" applyProtection="1">
      <alignment horizontal="center"/>
      <protection hidden="1"/>
    </xf>
    <xf numFmtId="2" fontId="4" fillId="26" borderId="22" xfId="0" applyNumberFormat="1" applyFont="1" applyFill="1" applyBorder="1" applyAlignment="1" applyProtection="1">
      <alignment horizontal="center" wrapText="1"/>
      <protection hidden="1"/>
    </xf>
    <xf numFmtId="2" fontId="4" fillId="26" borderId="28" xfId="0" applyNumberFormat="1" applyFont="1" applyFill="1" applyBorder="1" applyAlignment="1" applyProtection="1">
      <alignment horizontal="center" wrapText="1"/>
      <protection hidden="1"/>
    </xf>
    <xf numFmtId="0" fontId="56" fillId="38" borderId="10" xfId="0" applyFont="1" applyFill="1" applyBorder="1" applyAlignment="1" applyProtection="1">
      <alignment horizontal="center"/>
      <protection hidden="1"/>
    </xf>
    <xf numFmtId="0" fontId="29" fillId="7" borderId="10" xfId="0" applyFont="1" applyFill="1" applyBorder="1" applyAlignment="1" applyProtection="1">
      <alignment horizontal="center"/>
      <protection hidden="1"/>
    </xf>
    <xf numFmtId="202" fontId="6" fillId="0" borderId="10" xfId="0" applyNumberFormat="1" applyFont="1" applyBorder="1" applyAlignment="1" applyProtection="1">
      <alignment horizontal="center"/>
      <protection hidden="1" locked="0"/>
    </xf>
    <xf numFmtId="3" fontId="20" fillId="0" borderId="22" xfId="0" applyNumberFormat="1" applyFont="1" applyFill="1" applyBorder="1" applyAlignment="1" applyProtection="1">
      <alignment horizontal="center" wrapText="1"/>
      <protection hidden="1"/>
    </xf>
    <xf numFmtId="3" fontId="20" fillId="0" borderId="34" xfId="0" applyNumberFormat="1" applyFont="1" applyFill="1" applyBorder="1" applyAlignment="1" applyProtection="1">
      <alignment horizontal="center" wrapText="1"/>
      <protection hidden="1"/>
    </xf>
    <xf numFmtId="3" fontId="20" fillId="0" borderId="28" xfId="0" applyNumberFormat="1" applyFont="1" applyFill="1" applyBorder="1" applyAlignment="1" applyProtection="1">
      <alignment horizontal="center" wrapText="1"/>
      <protection hidden="1"/>
    </xf>
    <xf numFmtId="0" fontId="120" fillId="40" borderId="10" xfId="0" applyFont="1" applyFill="1" applyBorder="1" applyAlignment="1" applyProtection="1">
      <alignment horizontal="center"/>
      <protection hidden="1" locked="0"/>
    </xf>
    <xf numFmtId="0" fontId="20" fillId="40" borderId="10" xfId="0" applyFont="1" applyFill="1" applyBorder="1" applyAlignment="1" applyProtection="1">
      <alignment horizontal="center"/>
      <protection hidden="1"/>
    </xf>
    <xf numFmtId="0" fontId="121" fillId="4" borderId="0" xfId="0" applyFont="1" applyFill="1" applyAlignment="1" applyProtection="1">
      <alignment horizontal="center" wrapText="1"/>
      <protection hidden="1"/>
    </xf>
    <xf numFmtId="0" fontId="4" fillId="36" borderId="10" xfId="0" applyFont="1" applyFill="1" applyBorder="1" applyAlignment="1" applyProtection="1">
      <alignment horizontal="center" wrapText="1"/>
      <protection hidden="1"/>
    </xf>
    <xf numFmtId="0" fontId="4" fillId="0" borderId="10" xfId="0" applyFont="1" applyBorder="1" applyAlignment="1" applyProtection="1">
      <alignment horizontal="center"/>
      <protection hidden="1"/>
    </xf>
    <xf numFmtId="0" fontId="122" fillId="4" borderId="10" xfId="0" applyFont="1" applyFill="1" applyBorder="1" applyAlignment="1" applyProtection="1">
      <alignment horizontal="center"/>
      <protection hidden="1"/>
    </xf>
    <xf numFmtId="0" fontId="27" fillId="4" borderId="0" xfId="0" applyFont="1" applyFill="1" applyAlignment="1" applyProtection="1">
      <alignment horizontal="center"/>
      <protection hidden="1"/>
    </xf>
    <xf numFmtId="0" fontId="0" fillId="34" borderId="37" xfId="0" applyFont="1" applyFill="1" applyBorder="1" applyAlignment="1" applyProtection="1">
      <alignment horizontal="center" vertical="center" textRotation="90"/>
      <protection hidden="1"/>
    </xf>
    <xf numFmtId="0" fontId="0" fillId="34" borderId="37" xfId="0" applyFill="1" applyBorder="1" applyAlignment="1" applyProtection="1">
      <alignment horizontal="center" vertical="center" textRotation="90"/>
      <protection hidden="1"/>
    </xf>
    <xf numFmtId="0" fontId="9" fillId="0" borderId="38" xfId="0" applyFont="1" applyFill="1" applyBorder="1" applyAlignment="1" applyProtection="1">
      <alignment horizontal="center" vertical="center" shrinkToFit="1"/>
      <protection hidden="1"/>
    </xf>
    <xf numFmtId="0" fontId="9" fillId="0" borderId="33" xfId="0" applyFont="1" applyFill="1" applyBorder="1" applyAlignment="1" applyProtection="1">
      <alignment horizontal="center" vertical="center" shrinkToFit="1"/>
      <protection hidden="1"/>
    </xf>
    <xf numFmtId="0" fontId="0" fillId="34" borderId="25" xfId="0" applyFill="1" applyBorder="1" applyAlignment="1" applyProtection="1">
      <alignment horizontal="center" vertical="center" textRotation="90"/>
      <protection hidden="1"/>
    </xf>
    <xf numFmtId="0" fontId="0" fillId="34" borderId="21" xfId="0" applyFill="1" applyBorder="1" applyAlignment="1" applyProtection="1">
      <alignment horizontal="center" vertical="center" textRotation="90"/>
      <protection hidden="1"/>
    </xf>
    <xf numFmtId="0" fontId="0" fillId="34" borderId="26" xfId="0" applyFill="1" applyBorder="1" applyAlignment="1" applyProtection="1">
      <alignment horizontal="center" vertical="center" textRotation="90"/>
      <protection hidden="1"/>
    </xf>
    <xf numFmtId="0" fontId="0" fillId="37" borderId="25" xfId="0" applyFont="1" applyFill="1" applyBorder="1" applyAlignment="1" applyProtection="1">
      <alignment horizontal="center" vertical="center" textRotation="90"/>
      <protection hidden="1"/>
    </xf>
    <xf numFmtId="0" fontId="0" fillId="37" borderId="21" xfId="0" applyFill="1" applyBorder="1" applyAlignment="1" applyProtection="1">
      <alignment horizontal="center" vertical="center" textRotation="90"/>
      <protection hidden="1"/>
    </xf>
    <xf numFmtId="0" fontId="0" fillId="37" borderId="26" xfId="0" applyFill="1" applyBorder="1" applyAlignment="1" applyProtection="1">
      <alignment horizontal="center" vertical="center" textRotation="90"/>
      <protection hidden="1"/>
    </xf>
    <xf numFmtId="0" fontId="0" fillId="42" borderId="25" xfId="0" applyFill="1" applyBorder="1" applyAlignment="1" applyProtection="1">
      <alignment horizontal="center" vertical="center" textRotation="90"/>
      <protection hidden="1"/>
    </xf>
    <xf numFmtId="0" fontId="0" fillId="42" borderId="21" xfId="0" applyFill="1" applyBorder="1" applyAlignment="1" applyProtection="1">
      <alignment horizontal="center" vertical="center" textRotation="90"/>
      <protection hidden="1"/>
    </xf>
    <xf numFmtId="0" fontId="0" fillId="42" borderId="26" xfId="0" applyFill="1" applyBorder="1" applyAlignment="1" applyProtection="1">
      <alignment horizontal="center" vertical="center" textRotation="90"/>
      <protection hidden="1"/>
    </xf>
    <xf numFmtId="0" fontId="0" fillId="36" borderId="25" xfId="0" applyFill="1" applyBorder="1" applyAlignment="1" applyProtection="1">
      <alignment horizontal="center" vertical="center" textRotation="90"/>
      <protection hidden="1"/>
    </xf>
    <xf numFmtId="0" fontId="0" fillId="36" borderId="21" xfId="0" applyFill="1" applyBorder="1" applyAlignment="1" applyProtection="1">
      <alignment horizontal="center" vertical="center" textRotation="90"/>
      <protection hidden="1"/>
    </xf>
    <xf numFmtId="0" fontId="0" fillId="36" borderId="26" xfId="0" applyFill="1" applyBorder="1" applyAlignment="1" applyProtection="1">
      <alignment horizontal="center" vertical="center" textRotation="90"/>
      <protection hidden="1"/>
    </xf>
    <xf numFmtId="0" fontId="0" fillId="33" borderId="25" xfId="0" applyFill="1" applyBorder="1" applyAlignment="1" applyProtection="1">
      <alignment horizontal="center" vertical="center" textRotation="90"/>
      <protection hidden="1"/>
    </xf>
    <xf numFmtId="0" fontId="0" fillId="33" borderId="21" xfId="0" applyFill="1" applyBorder="1" applyAlignment="1" applyProtection="1">
      <alignment horizontal="center" vertical="center" textRotation="90"/>
      <protection hidden="1"/>
    </xf>
    <xf numFmtId="0" fontId="0" fillId="5" borderId="21" xfId="0" applyFont="1" applyFill="1" applyBorder="1" applyAlignment="1" applyProtection="1">
      <alignment horizontal="center" vertical="center" textRotation="90"/>
      <protection hidden="1"/>
    </xf>
    <xf numFmtId="0" fontId="0" fillId="5" borderId="21" xfId="0" applyFill="1" applyBorder="1" applyAlignment="1" applyProtection="1">
      <alignment horizontal="center" vertical="center" textRotation="90"/>
      <protection hidden="1"/>
    </xf>
    <xf numFmtId="0" fontId="0" fillId="5" borderId="26" xfId="0" applyFill="1" applyBorder="1" applyAlignment="1" applyProtection="1">
      <alignment horizontal="center" vertical="center" textRotation="90"/>
      <protection hidden="1"/>
    </xf>
    <xf numFmtId="0" fontId="74" fillId="0" borderId="10" xfId="0" applyFont="1" applyBorder="1" applyAlignment="1" applyProtection="1">
      <alignment horizontal="center" wrapText="1"/>
      <protection hidden="1"/>
    </xf>
    <xf numFmtId="0" fontId="63" fillId="36" borderId="22" xfId="0" applyFont="1" applyFill="1" applyBorder="1" applyAlignment="1" applyProtection="1">
      <alignment horizontal="center" wrapText="1"/>
      <protection hidden="1"/>
    </xf>
    <xf numFmtId="0" fontId="0" fillId="0" borderId="25"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25" xfId="0" applyBorder="1" applyAlignment="1" applyProtection="1">
      <alignment horizontal="center" wrapText="1"/>
      <protection hidden="1"/>
    </xf>
    <xf numFmtId="0" fontId="0" fillId="0" borderId="26" xfId="0" applyBorder="1" applyAlignment="1" applyProtection="1">
      <alignment horizontal="center" wrapText="1"/>
      <protection hidden="1"/>
    </xf>
    <xf numFmtId="0" fontId="62" fillId="34" borderId="25" xfId="0" applyFont="1" applyFill="1" applyBorder="1" applyAlignment="1" applyProtection="1">
      <alignment horizontal="center" vertical="center" wrapText="1"/>
      <protection hidden="1"/>
    </xf>
    <xf numFmtId="0" fontId="62" fillId="34" borderId="26" xfId="0" applyFont="1" applyFill="1" applyBorder="1" applyAlignment="1" applyProtection="1">
      <alignment horizontal="center" vertical="center" wrapText="1"/>
      <protection hidden="1"/>
    </xf>
    <xf numFmtId="0" fontId="61" fillId="0" borderId="10" xfId="0" applyFont="1" applyBorder="1" applyAlignment="1" applyProtection="1">
      <alignment horizontal="center" vertical="center" wrapText="1"/>
      <protection hidden="1"/>
    </xf>
    <xf numFmtId="14" fontId="61" fillId="0" borderId="10" xfId="0" applyNumberFormat="1" applyFont="1" applyBorder="1" applyAlignment="1" applyProtection="1">
      <alignment horizontal="center" vertical="center" wrapText="1"/>
      <protection hidden="1"/>
    </xf>
    <xf numFmtId="0" fontId="63" fillId="36" borderId="10" xfId="0" applyFont="1" applyFill="1" applyBorder="1" applyAlignment="1" applyProtection="1">
      <alignment horizontal="center" wrapText="1"/>
      <protection hidden="1"/>
    </xf>
    <xf numFmtId="0" fontId="61" fillId="0" borderId="25" xfId="0" applyFont="1" applyBorder="1" applyAlignment="1" applyProtection="1">
      <alignment horizontal="center" vertical="center" wrapText="1"/>
      <protection hidden="1"/>
    </xf>
    <xf numFmtId="0" fontId="61" fillId="0" borderId="26" xfId="0" applyFont="1" applyBorder="1" applyAlignment="1" applyProtection="1">
      <alignment horizontal="center" vertical="center" wrapText="1"/>
      <protection hidden="1"/>
    </xf>
    <xf numFmtId="0" fontId="61" fillId="37" borderId="25" xfId="0" applyFont="1" applyFill="1" applyBorder="1" applyAlignment="1" applyProtection="1">
      <alignment horizontal="center" vertical="center" wrapText="1"/>
      <protection hidden="1"/>
    </xf>
    <xf numFmtId="0" fontId="61" fillId="37" borderId="26" xfId="0" applyFont="1" applyFill="1" applyBorder="1" applyAlignment="1" applyProtection="1">
      <alignment horizontal="center" vertical="center" wrapText="1"/>
      <protection hidden="1"/>
    </xf>
    <xf numFmtId="0" fontId="0" fillId="42" borderId="25" xfId="0" applyFill="1" applyBorder="1" applyAlignment="1" applyProtection="1">
      <alignment horizontal="center" wrapText="1"/>
      <protection hidden="1"/>
    </xf>
    <xf numFmtId="0" fontId="0" fillId="42" borderId="26" xfId="0" applyFill="1" applyBorder="1" applyAlignment="1" applyProtection="1">
      <alignment horizontal="center" wrapText="1"/>
      <protection hidden="1"/>
    </xf>
    <xf numFmtId="0" fontId="0" fillId="42" borderId="25" xfId="0" applyFill="1" applyBorder="1" applyAlignment="1" applyProtection="1">
      <alignment horizontal="center"/>
      <protection hidden="1"/>
    </xf>
    <xf numFmtId="0" fontId="0" fillId="42" borderId="26" xfId="0" applyFill="1" applyBorder="1" applyAlignment="1" applyProtection="1">
      <alignment horizontal="center"/>
      <protection hidden="1"/>
    </xf>
    <xf numFmtId="0" fontId="0" fillId="38" borderId="25" xfId="0" applyFill="1" applyBorder="1" applyAlignment="1" applyProtection="1">
      <alignment horizontal="center" wrapText="1"/>
      <protection hidden="1"/>
    </xf>
    <xf numFmtId="0" fontId="0" fillId="38" borderId="26" xfId="0" applyFill="1" applyBorder="1" applyAlignment="1" applyProtection="1">
      <alignment horizontal="center" wrapText="1"/>
      <protection hidden="1"/>
    </xf>
    <xf numFmtId="0" fontId="0" fillId="38" borderId="25" xfId="0" applyFill="1" applyBorder="1" applyAlignment="1" applyProtection="1">
      <alignment horizontal="center"/>
      <protection hidden="1"/>
    </xf>
    <xf numFmtId="0" fontId="0" fillId="38" borderId="26" xfId="0" applyFill="1" applyBorder="1" applyAlignment="1" applyProtection="1">
      <alignment horizontal="center"/>
      <protection hidden="1"/>
    </xf>
    <xf numFmtId="0" fontId="62" fillId="0" borderId="25" xfId="0" applyFont="1" applyBorder="1" applyAlignment="1" applyProtection="1">
      <alignment horizontal="center" vertical="center" wrapText="1"/>
      <protection hidden="1"/>
    </xf>
    <xf numFmtId="0" fontId="62" fillId="0" borderId="26" xfId="0" applyFont="1" applyBorder="1" applyAlignment="1" applyProtection="1">
      <alignment horizontal="center" vertical="center" wrapText="1"/>
      <protection hidden="1"/>
    </xf>
    <xf numFmtId="0" fontId="0" fillId="33" borderId="25" xfId="0" applyFill="1" applyBorder="1" applyAlignment="1" applyProtection="1">
      <alignment horizontal="center" wrapText="1"/>
      <protection hidden="1"/>
    </xf>
    <xf numFmtId="0" fontId="0" fillId="33" borderId="26" xfId="0" applyFill="1" applyBorder="1" applyAlignment="1" applyProtection="1">
      <alignment horizontal="center" wrapText="1"/>
      <protection hidden="1"/>
    </xf>
    <xf numFmtId="0" fontId="60" fillId="0" borderId="10" xfId="0" applyFont="1" applyBorder="1" applyAlignment="1" applyProtection="1">
      <alignment horizontal="center" vertical="center"/>
      <protection hidden="1"/>
    </xf>
    <xf numFmtId="0" fontId="60" fillId="0" borderId="25" xfId="0" applyFont="1" applyBorder="1" applyAlignment="1" applyProtection="1">
      <alignment horizontal="center" vertical="center" wrapText="1"/>
      <protection hidden="1"/>
    </xf>
    <xf numFmtId="0" fontId="60" fillId="0" borderId="26" xfId="0" applyFont="1" applyBorder="1" applyAlignment="1" applyProtection="1">
      <alignment horizontal="center" vertical="center" wrapText="1"/>
      <protection hidden="1"/>
    </xf>
    <xf numFmtId="0" fontId="0" fillId="0" borderId="37" xfId="0" applyBorder="1" applyAlignment="1" applyProtection="1">
      <alignment horizontal="center"/>
      <protection hidden="1"/>
    </xf>
    <xf numFmtId="0" fontId="59" fillId="0" borderId="10" xfId="0" applyFont="1" applyBorder="1" applyAlignment="1" applyProtection="1">
      <alignment horizontal="center"/>
      <protection hidden="1"/>
    </xf>
    <xf numFmtId="0" fontId="0" fillId="33" borderId="35" xfId="0" applyFill="1" applyBorder="1" applyAlignment="1" applyProtection="1">
      <alignment horizontal="center" wrapText="1"/>
      <protection hidden="1"/>
    </xf>
    <xf numFmtId="0" fontId="0" fillId="33" borderId="39" xfId="0" applyFill="1" applyBorder="1" applyAlignment="1" applyProtection="1">
      <alignment horizontal="center" wrapText="1"/>
      <protection hidden="1"/>
    </xf>
    <xf numFmtId="0" fontId="0" fillId="33" borderId="36" xfId="0" applyFill="1" applyBorder="1" applyAlignment="1" applyProtection="1">
      <alignment horizontal="center" wrapText="1"/>
      <protection hidden="1"/>
    </xf>
    <xf numFmtId="0" fontId="0" fillId="37" borderId="35" xfId="0" applyFill="1" applyBorder="1" applyAlignment="1" applyProtection="1">
      <alignment horizontal="center" wrapText="1"/>
      <protection hidden="1"/>
    </xf>
    <xf numFmtId="0" fontId="0" fillId="37" borderId="39" xfId="0" applyFill="1" applyBorder="1" applyAlignment="1" applyProtection="1">
      <alignment horizontal="center" wrapText="1"/>
      <protection hidden="1"/>
    </xf>
    <xf numFmtId="0" fontId="0" fillId="37" borderId="36" xfId="0" applyFill="1" applyBorder="1" applyAlignment="1" applyProtection="1">
      <alignment horizontal="center" wrapText="1"/>
      <protection hidden="1"/>
    </xf>
    <xf numFmtId="0" fontId="0" fillId="42" borderId="35" xfId="0" applyFill="1" applyBorder="1" applyAlignment="1" applyProtection="1">
      <alignment horizontal="center" wrapText="1"/>
      <protection hidden="1"/>
    </xf>
    <xf numFmtId="0" fontId="0" fillId="42" borderId="39" xfId="0" applyFill="1" applyBorder="1" applyAlignment="1" applyProtection="1">
      <alignment horizontal="center" wrapText="1"/>
      <protection hidden="1"/>
    </xf>
    <xf numFmtId="0" fontId="0" fillId="42" borderId="36" xfId="0" applyFill="1" applyBorder="1" applyAlignment="1" applyProtection="1">
      <alignment horizontal="center" wrapText="1"/>
      <protection hidden="1"/>
    </xf>
    <xf numFmtId="0" fontId="0" fillId="38" borderId="35" xfId="0" applyFill="1" applyBorder="1" applyAlignment="1" applyProtection="1">
      <alignment horizontal="center" wrapText="1"/>
      <protection hidden="1"/>
    </xf>
    <xf numFmtId="0" fontId="0" fillId="38" borderId="39" xfId="0" applyFill="1" applyBorder="1" applyAlignment="1" applyProtection="1">
      <alignment horizontal="center" wrapText="1"/>
      <protection hidden="1"/>
    </xf>
    <xf numFmtId="0" fontId="0" fillId="38" borderId="36" xfId="0" applyFill="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10" xfId="0" applyBorder="1" applyAlignment="1" applyProtection="1">
      <alignment horizontal="center"/>
      <protection hidden="1"/>
    </xf>
    <xf numFmtId="0" fontId="0" fillId="33" borderId="25" xfId="0" applyFill="1" applyBorder="1" applyAlignment="1" applyProtection="1">
      <alignment horizontal="center"/>
      <protection hidden="1"/>
    </xf>
    <xf numFmtId="0" fontId="0" fillId="33" borderId="26" xfId="0" applyFill="1" applyBorder="1" applyAlignment="1" applyProtection="1">
      <alignment horizontal="center"/>
      <protection hidden="1"/>
    </xf>
    <xf numFmtId="0" fontId="0" fillId="37" borderId="25" xfId="0" applyFill="1" applyBorder="1" applyAlignment="1" applyProtection="1">
      <alignment horizontal="center" wrapText="1"/>
      <protection hidden="1"/>
    </xf>
    <xf numFmtId="0" fontId="0" fillId="37" borderId="26" xfId="0" applyFill="1" applyBorder="1" applyAlignment="1" applyProtection="1">
      <alignment horizontal="center" wrapText="1"/>
      <protection hidden="1"/>
    </xf>
    <xf numFmtId="0" fontId="0" fillId="37" borderId="25" xfId="0" applyFill="1" applyBorder="1" applyAlignment="1" applyProtection="1">
      <alignment horizontal="center"/>
      <protection hidden="1"/>
    </xf>
    <xf numFmtId="0" fontId="0" fillId="37" borderId="26" xfId="0" applyFill="1" applyBorder="1" applyAlignment="1" applyProtection="1">
      <alignment horizontal="center"/>
      <protection hidden="1"/>
    </xf>
    <xf numFmtId="0" fontId="12" fillId="0" borderId="33" xfId="0" applyFont="1" applyBorder="1" applyAlignment="1" applyProtection="1">
      <alignment horizontal="center" wrapText="1"/>
      <protection hidden="1"/>
    </xf>
    <xf numFmtId="0" fontId="1" fillId="36" borderId="0" xfId="0" applyFont="1" applyFill="1" applyBorder="1" applyAlignment="1" applyProtection="1">
      <alignment horizontal="center"/>
      <protection hidden="1"/>
    </xf>
    <xf numFmtId="0" fontId="4" fillId="36" borderId="10" xfId="0" applyFont="1" applyFill="1" applyBorder="1" applyAlignment="1" applyProtection="1">
      <alignment horizontal="center"/>
      <protection hidden="1"/>
    </xf>
    <xf numFmtId="0" fontId="1" fillId="34" borderId="33" xfId="0" applyFont="1" applyFill="1" applyBorder="1" applyAlignment="1" applyProtection="1">
      <alignment horizontal="center"/>
      <protection hidden="1"/>
    </xf>
    <xf numFmtId="0" fontId="1" fillId="41" borderId="33" xfId="0" applyFont="1" applyFill="1" applyBorder="1" applyAlignment="1" applyProtection="1">
      <alignment horizontal="center"/>
      <protection hidden="1"/>
    </xf>
    <xf numFmtId="194" fontId="5" fillId="41" borderId="10" xfId="0" applyNumberFormat="1" applyFont="1" applyFill="1" applyBorder="1" applyAlignment="1" applyProtection="1">
      <alignment horizontal="center"/>
      <protection hidden="1" locked="0"/>
    </xf>
    <xf numFmtId="194" fontId="5" fillId="34" borderId="22" xfId="0" applyNumberFormat="1" applyFont="1" applyFill="1" applyBorder="1" applyAlignment="1" applyProtection="1">
      <alignment horizontal="center"/>
      <protection hidden="1" locked="0"/>
    </xf>
    <xf numFmtId="194" fontId="5" fillId="34" borderId="34" xfId="0" applyNumberFormat="1" applyFont="1" applyFill="1" applyBorder="1" applyAlignment="1" applyProtection="1">
      <alignment horizontal="center"/>
      <protection hidden="1" locked="0"/>
    </xf>
    <xf numFmtId="194" fontId="5" fillId="34" borderId="28" xfId="0" applyNumberFormat="1" applyFont="1" applyFill="1" applyBorder="1" applyAlignment="1" applyProtection="1">
      <alignment horizontal="center"/>
      <protection hidden="1" locked="0"/>
    </xf>
    <xf numFmtId="14" fontId="37" fillId="0" borderId="10" xfId="0" applyNumberFormat="1" applyFont="1" applyFill="1" applyBorder="1" applyAlignment="1" applyProtection="1">
      <alignment horizontal="center"/>
      <protection hidden="1"/>
    </xf>
    <xf numFmtId="0" fontId="15" fillId="0" borderId="22" xfId="0" applyFont="1" applyBorder="1" applyAlignment="1" applyProtection="1">
      <alignment horizontal="center" wrapText="1"/>
      <protection hidden="1"/>
    </xf>
    <xf numFmtId="0" fontId="15" fillId="0" borderId="28" xfId="0" applyFont="1" applyBorder="1" applyAlignment="1" applyProtection="1">
      <alignment horizontal="center" wrapText="1"/>
      <protection hidden="1"/>
    </xf>
    <xf numFmtId="0" fontId="114" fillId="0" borderId="10" xfId="0" applyFont="1"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horizontal="center" wrapText="1"/>
    </xf>
    <xf numFmtId="0" fontId="62" fillId="0" borderId="10" xfId="0" applyFont="1" applyBorder="1" applyAlignment="1">
      <alignment horizontal="center" vertical="center" wrapText="1"/>
    </xf>
    <xf numFmtId="0" fontId="123" fillId="43" borderId="10" xfId="0" applyFont="1" applyFill="1" applyBorder="1" applyAlignment="1">
      <alignment horizont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0" fontId="114" fillId="0" borderId="25" xfId="0" applyFont="1" applyBorder="1" applyAlignment="1">
      <alignment horizontal="center" wrapText="1"/>
    </xf>
    <xf numFmtId="0" fontId="114" fillId="0" borderId="26" xfId="0" applyFont="1" applyBorder="1" applyAlignment="1">
      <alignment horizontal="center" wrapText="1"/>
    </xf>
    <xf numFmtId="0" fontId="18" fillId="0" borderId="10" xfId="0" applyFont="1" applyBorder="1" applyAlignment="1" applyProtection="1">
      <alignment horizontal="center" wrapText="1"/>
      <protection hidden="1"/>
    </xf>
    <xf numFmtId="0" fontId="22" fillId="0" borderId="40" xfId="0" applyFont="1" applyBorder="1" applyAlignment="1" applyProtection="1">
      <alignment horizontal="center" wrapText="1"/>
      <protection hidden="1"/>
    </xf>
    <xf numFmtId="0" fontId="22" fillId="0" borderId="17" xfId="0" applyFont="1" applyBorder="1" applyAlignment="1" applyProtection="1">
      <alignment horizontal="center" wrapText="1"/>
      <protection hidden="1"/>
    </xf>
    <xf numFmtId="0" fontId="19" fillId="0" borderId="33" xfId="0" applyFont="1" applyBorder="1" applyAlignment="1" applyProtection="1">
      <alignment horizontal="center" wrapText="1"/>
      <protection hidden="1"/>
    </xf>
    <xf numFmtId="0" fontId="22" fillId="0" borderId="14" xfId="0" applyFont="1" applyBorder="1" applyAlignment="1" applyProtection="1">
      <alignment horizontal="center" wrapText="1"/>
      <protection hidden="1"/>
    </xf>
    <xf numFmtId="0" fontId="22" fillId="0" borderId="41" xfId="0" applyFont="1" applyBorder="1" applyAlignment="1" applyProtection="1">
      <alignment horizontal="center" wrapText="1"/>
      <protection hidden="1"/>
    </xf>
    <xf numFmtId="0" fontId="17" fillId="0" borderId="0" xfId="0" applyFont="1" applyAlignment="1" applyProtection="1">
      <alignment horizontal="justify"/>
      <protection hidden="1"/>
    </xf>
    <xf numFmtId="0" fontId="17" fillId="0" borderId="0" xfId="0" applyFont="1" applyAlignment="1" applyProtection="1">
      <alignment horizontal="justify" wrapText="1"/>
      <protection hidden="1"/>
    </xf>
    <xf numFmtId="0" fontId="22" fillId="0" borderId="42" xfId="0" applyFont="1" applyBorder="1" applyAlignment="1" applyProtection="1">
      <alignment horizontal="center" wrapText="1"/>
      <protection hidden="1"/>
    </xf>
    <xf numFmtId="0" fontId="22" fillId="0" borderId="43" xfId="0" applyFont="1" applyBorder="1" applyAlignment="1" applyProtection="1">
      <alignment horizontal="center" wrapText="1"/>
      <protection hidden="1"/>
    </xf>
    <xf numFmtId="0" fontId="22" fillId="0" borderId="44" xfId="0" applyFont="1" applyBorder="1" applyAlignment="1" applyProtection="1">
      <alignment horizontal="center" wrapText="1"/>
      <protection hidden="1"/>
    </xf>
    <xf numFmtId="0" fontId="17" fillId="0" borderId="40" xfId="0" applyFont="1" applyBorder="1" applyAlignment="1" applyProtection="1">
      <alignment horizontal="justify"/>
      <protection hidden="1"/>
    </xf>
    <xf numFmtId="0" fontId="19" fillId="34" borderId="0" xfId="0" applyFont="1" applyFill="1" applyAlignment="1" applyProtection="1">
      <alignment horizontal="center"/>
      <protection hidden="1"/>
    </xf>
    <xf numFmtId="0" fontId="22" fillId="0" borderId="31" xfId="0" applyFont="1" applyBorder="1" applyAlignment="1" applyProtection="1">
      <alignment horizontal="center" wrapText="1"/>
      <protection hidden="1"/>
    </xf>
    <xf numFmtId="0" fontId="22" fillId="0" borderId="31" xfId="0" applyFont="1" applyBorder="1" applyAlignment="1" applyProtection="1">
      <alignment horizontal="right" wrapText="1"/>
      <protection hidden="1"/>
    </xf>
    <xf numFmtId="0" fontId="22" fillId="0" borderId="29" xfId="0" applyFont="1" applyBorder="1" applyAlignment="1" applyProtection="1">
      <alignment horizontal="center" wrapText="1"/>
      <protection hidden="1"/>
    </xf>
    <xf numFmtId="0" fontId="22" fillId="0" borderId="15" xfId="0" applyFont="1" applyBorder="1" applyAlignment="1" applyProtection="1">
      <alignment horizontal="center" wrapText="1"/>
      <protection hidden="1"/>
    </xf>
    <xf numFmtId="0" fontId="22" fillId="0" borderId="32" xfId="0" applyFont="1" applyBorder="1" applyAlignment="1" applyProtection="1">
      <alignment horizontal="center" wrapText="1"/>
      <protection hidden="1"/>
    </xf>
    <xf numFmtId="4" fontId="22" fillId="0" borderId="29" xfId="0" applyNumberFormat="1" applyFont="1" applyBorder="1" applyAlignment="1" applyProtection="1">
      <alignment horizontal="center" wrapText="1"/>
      <protection hidden="1"/>
    </xf>
    <xf numFmtId="4" fontId="22" fillId="0" borderId="15" xfId="0" applyNumberFormat="1" applyFont="1" applyBorder="1" applyAlignment="1" applyProtection="1">
      <alignment horizontal="center" wrapText="1"/>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25">
    <dxf>
      <font>
        <color indexed="12"/>
      </font>
    </dxf>
    <dxf>
      <font>
        <color indexed="12"/>
      </font>
    </dxf>
    <dxf>
      <font>
        <color indexed="12"/>
      </font>
    </dxf>
    <dxf>
      <font>
        <color indexed="1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66FF"/>
      </font>
    </dxf>
    <dxf>
      <font>
        <color indexed="12"/>
      </font>
    </dxf>
    <dxf>
      <fill>
        <patternFill>
          <bgColor rgb="FFFF0000"/>
        </patternFill>
      </fill>
    </dxf>
    <dxf>
      <font>
        <color indexed="12"/>
      </font>
    </dxf>
    <dxf>
      <font>
        <color indexed="12"/>
      </font>
    </dxf>
    <dxf>
      <fill>
        <patternFill>
          <bgColor rgb="FFFF0000"/>
        </patternFill>
      </fill>
    </dxf>
    <dxf>
      <font>
        <b/>
        <i val="0"/>
        <color rgb="FF0066FF"/>
      </font>
    </dxf>
    <dxf>
      <fill>
        <patternFill>
          <bgColor rgb="FFFF0000"/>
        </patternFill>
      </fill>
    </dxf>
    <dxf>
      <font>
        <b/>
        <i val="0"/>
        <color rgb="FF0066FF"/>
      </font>
    </dxf>
    <dxf>
      <font>
        <color indexed="12"/>
      </font>
    </dxf>
    <dxf>
      <fill>
        <patternFill>
          <bgColor indexed="44"/>
        </patternFill>
      </fill>
    </dxf>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6</xdr:row>
      <xdr:rowOff>104775</xdr:rowOff>
    </xdr:from>
    <xdr:to>
      <xdr:col>14</xdr:col>
      <xdr:colOff>133350</xdr:colOff>
      <xdr:row>12</xdr:row>
      <xdr:rowOff>142875</xdr:rowOff>
    </xdr:to>
    <xdr:pic>
      <xdr:nvPicPr>
        <xdr:cNvPr id="1" name="Picture 94" descr="logoakü"/>
        <xdr:cNvPicPr preferRelativeResize="1">
          <a:picLocks noChangeAspect="1"/>
        </xdr:cNvPicPr>
      </xdr:nvPicPr>
      <xdr:blipFill>
        <a:blip r:embed="rId1"/>
        <a:stretch>
          <a:fillRect/>
        </a:stretch>
      </xdr:blipFill>
      <xdr:spPr>
        <a:xfrm>
          <a:off x="7305675" y="1685925"/>
          <a:ext cx="1895475"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ayfa4">
    <tabColor indexed="35"/>
  </sheetPr>
  <dimension ref="A1:AU2192"/>
  <sheetViews>
    <sheetView showGridLines="0" showZeros="0" tabSelected="1" zoomScale="80" zoomScaleNormal="80" zoomScalePageLayoutView="0" workbookViewId="0" topLeftCell="A1">
      <selection activeCell="D5" sqref="D5:I5"/>
    </sheetView>
  </sheetViews>
  <sheetFormatPr defaultColWidth="9.140625" defaultRowHeight="12.75"/>
  <cols>
    <col min="1" max="1" width="2.57421875" style="61" customWidth="1"/>
    <col min="2" max="2" width="1.7109375" style="61" customWidth="1"/>
    <col min="3" max="3" width="34.57421875" style="61" bestFit="1" customWidth="1"/>
    <col min="4" max="4" width="3.7109375" style="61" customWidth="1"/>
    <col min="5" max="5" width="3.8515625" style="61" customWidth="1"/>
    <col min="6" max="6" width="3.7109375" style="61" customWidth="1"/>
    <col min="7" max="7" width="7.140625" style="61" customWidth="1"/>
    <col min="8" max="8" width="5.140625" style="61" customWidth="1"/>
    <col min="9" max="9" width="30.00390625" style="61" customWidth="1"/>
    <col min="10" max="10" width="6.57421875" style="61" customWidth="1"/>
    <col min="11" max="11" width="4.140625" style="61" customWidth="1"/>
    <col min="12" max="12" width="8.00390625" style="61" customWidth="1"/>
    <col min="13" max="13" width="11.7109375" style="61" customWidth="1"/>
    <col min="14" max="14" width="13.140625" style="61" customWidth="1"/>
    <col min="15" max="15" width="2.57421875" style="61" customWidth="1"/>
    <col min="16" max="16" width="8.28125" style="61" customWidth="1"/>
    <col min="17" max="17" width="11.421875" style="61" customWidth="1"/>
    <col min="18" max="18" width="16.28125" style="61" customWidth="1"/>
    <col min="19" max="19" width="8.57421875" style="61" customWidth="1"/>
    <col min="20" max="20" width="7.28125" style="61" customWidth="1"/>
    <col min="21" max="21" width="3.57421875" style="61" customWidth="1"/>
    <col min="22" max="22" width="14.57421875" style="61" bestFit="1" customWidth="1"/>
    <col min="23" max="23" width="11.00390625" style="61" customWidth="1"/>
    <col min="24" max="26" width="9.140625" style="61" customWidth="1"/>
    <col min="27" max="27" width="0" style="61" hidden="1" customWidth="1"/>
    <col min="28" max="40" width="9.140625" style="61" hidden="1" customWidth="1"/>
    <col min="41" max="42" width="7.140625" style="61" hidden="1" customWidth="1"/>
    <col min="43" max="43" width="13.7109375" style="61" hidden="1" customWidth="1"/>
    <col min="44" max="47" width="9.140625" style="61" hidden="1" customWidth="1"/>
    <col min="48" max="48" width="0" style="61" hidden="1" customWidth="1"/>
    <col min="49" max="16384" width="9.140625" style="61" customWidth="1"/>
  </cols>
  <sheetData>
    <row r="1" spans="1:47" ht="12.75">
      <c r="A1" s="165"/>
      <c r="B1" s="165"/>
      <c r="C1" s="165"/>
      <c r="D1" s="165"/>
      <c r="E1" s="165"/>
      <c r="F1" s="165"/>
      <c r="G1" s="165"/>
      <c r="H1" s="165"/>
      <c r="I1" s="165"/>
      <c r="J1" s="165"/>
      <c r="K1" s="165"/>
      <c r="L1" s="165"/>
      <c r="M1" s="165"/>
      <c r="N1" s="165"/>
      <c r="O1" s="165"/>
      <c r="P1" s="165"/>
      <c r="Q1" s="165"/>
      <c r="R1" s="166"/>
      <c r="S1" s="166"/>
      <c r="T1" s="166"/>
      <c r="U1" s="166"/>
      <c r="V1" s="166"/>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row>
    <row r="2" spans="1:47" ht="35.25" customHeight="1">
      <c r="A2" s="165"/>
      <c r="B2" s="165"/>
      <c r="C2" s="165"/>
      <c r="D2" s="165"/>
      <c r="E2" s="165"/>
      <c r="F2" s="165"/>
      <c r="G2" s="165"/>
      <c r="H2" s="165"/>
      <c r="I2" s="165"/>
      <c r="J2" s="165"/>
      <c r="K2" s="167"/>
      <c r="L2" s="165"/>
      <c r="M2" s="165"/>
      <c r="N2" s="165"/>
      <c r="O2" s="165"/>
      <c r="P2" s="165"/>
      <c r="Q2" s="165"/>
      <c r="R2" s="202"/>
      <c r="S2" s="371"/>
      <c r="T2" s="371"/>
      <c r="U2" s="371"/>
      <c r="V2" s="169"/>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row>
    <row r="3" spans="1:47" ht="19.5">
      <c r="A3" s="170"/>
      <c r="B3" s="170"/>
      <c r="C3" s="377" t="s">
        <v>263</v>
      </c>
      <c r="D3" s="377"/>
      <c r="E3" s="377"/>
      <c r="F3" s="377"/>
      <c r="G3" s="377"/>
      <c r="H3" s="377"/>
      <c r="I3" s="377"/>
      <c r="J3" s="171"/>
      <c r="K3" s="167"/>
      <c r="L3" s="165"/>
      <c r="M3" s="165"/>
      <c r="N3" s="165"/>
      <c r="O3" s="165"/>
      <c r="P3" s="165"/>
      <c r="Q3" s="165"/>
      <c r="R3" s="172"/>
      <c r="S3" s="173"/>
      <c r="T3" s="174"/>
      <c r="U3" s="169"/>
      <c r="V3" s="169"/>
      <c r="W3" s="165"/>
      <c r="X3" s="165"/>
      <c r="Y3" s="165"/>
      <c r="Z3" s="165"/>
      <c r="AA3" s="165"/>
      <c r="AB3" s="165"/>
      <c r="AC3" s="165"/>
      <c r="AD3" s="165"/>
      <c r="AE3" s="165"/>
      <c r="AF3" s="165">
        <v>1</v>
      </c>
      <c r="AG3" s="165"/>
      <c r="AH3" s="165"/>
      <c r="AI3" s="165"/>
      <c r="AJ3" s="165"/>
      <c r="AK3" s="165"/>
      <c r="AL3" s="165"/>
      <c r="AM3" s="165"/>
      <c r="AN3" s="165"/>
      <c r="AO3" s="165"/>
      <c r="AP3" s="165"/>
      <c r="AQ3" s="165"/>
      <c r="AR3" s="165"/>
      <c r="AS3" s="165"/>
      <c r="AT3" s="165"/>
      <c r="AU3" s="165"/>
    </row>
    <row r="4" spans="1:47" ht="18">
      <c r="A4" s="170"/>
      <c r="B4" s="170"/>
      <c r="C4" s="146" t="s">
        <v>183</v>
      </c>
      <c r="D4" s="374" t="s">
        <v>143</v>
      </c>
      <c r="E4" s="374"/>
      <c r="F4" s="374"/>
      <c r="G4" s="374"/>
      <c r="H4" s="374"/>
      <c r="I4" s="374"/>
      <c r="J4" s="171"/>
      <c r="K4" s="167"/>
      <c r="L4" s="165"/>
      <c r="M4" s="165"/>
      <c r="N4" s="165"/>
      <c r="O4" s="165"/>
      <c r="P4" s="165"/>
      <c r="Q4" s="165"/>
      <c r="R4" s="172"/>
      <c r="S4" s="371"/>
      <c r="T4" s="371"/>
      <c r="U4" s="371"/>
      <c r="V4" s="169"/>
      <c r="W4" s="165"/>
      <c r="X4" s="165"/>
      <c r="Y4" s="165"/>
      <c r="Z4" s="165"/>
      <c r="AA4" s="165"/>
      <c r="AB4" s="165"/>
      <c r="AC4" s="165"/>
      <c r="AD4" s="165"/>
      <c r="AE4" s="165"/>
      <c r="AF4" s="176"/>
      <c r="AG4" s="165"/>
      <c r="AH4" s="165"/>
      <c r="AI4" s="165"/>
      <c r="AJ4" s="165"/>
      <c r="AK4" s="165"/>
      <c r="AL4" s="165"/>
      <c r="AM4" s="165"/>
      <c r="AN4" s="165"/>
      <c r="AO4" s="165"/>
      <c r="AP4" s="165"/>
      <c r="AQ4" s="165"/>
      <c r="AR4" s="165"/>
      <c r="AS4" s="165"/>
      <c r="AT4" s="165"/>
      <c r="AU4" s="165"/>
    </row>
    <row r="5" spans="1:47" ht="21" customHeight="1">
      <c r="A5" s="170"/>
      <c r="B5" s="170"/>
      <c r="C5" s="196" t="s">
        <v>93</v>
      </c>
      <c r="D5" s="378" t="s">
        <v>247</v>
      </c>
      <c r="E5" s="378"/>
      <c r="F5" s="378"/>
      <c r="G5" s="378"/>
      <c r="H5" s="378"/>
      <c r="I5" s="378"/>
      <c r="J5" s="171"/>
      <c r="K5" s="167"/>
      <c r="L5" s="165"/>
      <c r="M5" s="165"/>
      <c r="N5" s="165"/>
      <c r="O5" s="165"/>
      <c r="P5" s="165"/>
      <c r="Q5" s="165"/>
      <c r="R5" s="168"/>
      <c r="S5" s="372"/>
      <c r="T5" s="372"/>
      <c r="U5" s="372"/>
      <c r="V5" s="169"/>
      <c r="W5" s="165"/>
      <c r="X5" s="165"/>
      <c r="Y5" s="165"/>
      <c r="Z5" s="165"/>
      <c r="AA5" s="165"/>
      <c r="AB5" s="165"/>
      <c r="AC5" s="165"/>
      <c r="AD5" s="165"/>
      <c r="AE5" s="165"/>
      <c r="AF5" s="176" t="s">
        <v>247</v>
      </c>
      <c r="AG5" s="176"/>
      <c r="AH5" s="176"/>
      <c r="AI5" s="176"/>
      <c r="AJ5" s="176"/>
      <c r="AK5" s="176"/>
      <c r="AL5" s="176"/>
      <c r="AM5" s="176"/>
      <c r="AN5" s="165"/>
      <c r="AO5" s="165" t="s">
        <v>6</v>
      </c>
      <c r="AP5" s="165"/>
      <c r="AQ5" s="165"/>
      <c r="AR5" s="165"/>
      <c r="AS5" s="165" t="s">
        <v>28</v>
      </c>
      <c r="AT5" s="165"/>
      <c r="AU5" s="165"/>
    </row>
    <row r="6" spans="1:47" ht="18">
      <c r="A6" s="170"/>
      <c r="B6" s="170"/>
      <c r="C6" s="146" t="s">
        <v>94</v>
      </c>
      <c r="D6" s="386" t="s">
        <v>95</v>
      </c>
      <c r="E6" s="386"/>
      <c r="F6" s="386"/>
      <c r="G6" s="386"/>
      <c r="H6" s="386"/>
      <c r="I6" s="176"/>
      <c r="J6" s="171"/>
      <c r="K6" s="167"/>
      <c r="L6" s="165"/>
      <c r="M6" s="165"/>
      <c r="N6" s="165"/>
      <c r="O6" s="165"/>
      <c r="P6" s="165"/>
      <c r="Q6" s="165"/>
      <c r="R6" s="169"/>
      <c r="S6" s="376"/>
      <c r="T6" s="376"/>
      <c r="U6" s="376"/>
      <c r="V6" s="169"/>
      <c r="W6" s="165"/>
      <c r="X6" s="165"/>
      <c r="Y6" s="165"/>
      <c r="Z6" s="165"/>
      <c r="AA6" s="165"/>
      <c r="AB6" s="165"/>
      <c r="AC6" s="165"/>
      <c r="AD6" s="165"/>
      <c r="AE6" s="165"/>
      <c r="AF6" s="176"/>
      <c r="AG6" s="165"/>
      <c r="AH6" s="165"/>
      <c r="AI6" s="165"/>
      <c r="AJ6" s="165"/>
      <c r="AK6" s="165"/>
      <c r="AL6" s="165"/>
      <c r="AM6" s="165"/>
      <c r="AN6" s="165"/>
      <c r="AO6" s="165" t="s">
        <v>7</v>
      </c>
      <c r="AP6" s="165"/>
      <c r="AQ6" s="165"/>
      <c r="AR6" s="165"/>
      <c r="AS6" s="165" t="s">
        <v>137</v>
      </c>
      <c r="AT6" s="165"/>
      <c r="AU6" s="165"/>
    </row>
    <row r="7" spans="1:47" ht="18">
      <c r="A7" s="170"/>
      <c r="B7" s="170"/>
      <c r="C7" s="196" t="s">
        <v>97</v>
      </c>
      <c r="D7" s="375">
        <v>42962</v>
      </c>
      <c r="E7" s="375"/>
      <c r="F7" s="375"/>
      <c r="G7" s="375"/>
      <c r="H7" s="375"/>
      <c r="I7" s="177">
        <f>IF('Tek Kişilik'!P17=2,"İlave Gün Yaz","")</f>
      </c>
      <c r="J7" s="215"/>
      <c r="K7" s="165"/>
      <c r="L7" s="165"/>
      <c r="M7" s="165"/>
      <c r="N7" s="165"/>
      <c r="O7" s="165"/>
      <c r="P7" s="165"/>
      <c r="Q7" s="165"/>
      <c r="R7" s="165"/>
      <c r="S7" s="165"/>
      <c r="T7" s="165"/>
      <c r="U7" s="165"/>
      <c r="V7" s="165"/>
      <c r="W7" s="165"/>
      <c r="X7" s="165"/>
      <c r="Y7" s="165"/>
      <c r="Z7" s="165"/>
      <c r="AA7" s="165"/>
      <c r="AB7" s="165"/>
      <c r="AC7" s="165"/>
      <c r="AD7" s="165"/>
      <c r="AE7" s="165"/>
      <c r="AF7" s="176"/>
      <c r="AG7" s="165"/>
      <c r="AH7" s="165"/>
      <c r="AI7" s="165"/>
      <c r="AJ7" s="165"/>
      <c r="AK7" s="165"/>
      <c r="AL7" s="165"/>
      <c r="AM7" s="165"/>
      <c r="AN7" s="165"/>
      <c r="AO7" s="165" t="s">
        <v>8</v>
      </c>
      <c r="AP7" s="165"/>
      <c r="AQ7" s="165"/>
      <c r="AR7" s="165"/>
      <c r="AS7" s="165" t="s">
        <v>138</v>
      </c>
      <c r="AT7" s="165"/>
      <c r="AU7" s="165"/>
    </row>
    <row r="8" spans="1:47" ht="18">
      <c r="A8" s="170"/>
      <c r="B8" s="170"/>
      <c r="C8" s="146" t="s">
        <v>98</v>
      </c>
      <c r="D8" s="375">
        <v>42992</v>
      </c>
      <c r="E8" s="375"/>
      <c r="F8" s="375"/>
      <c r="G8" s="375"/>
      <c r="H8" s="375"/>
      <c r="I8" s="178"/>
      <c r="J8" s="178"/>
      <c r="K8" s="167"/>
      <c r="L8" s="165"/>
      <c r="M8" s="165"/>
      <c r="N8" s="165"/>
      <c r="O8" s="165"/>
      <c r="P8" s="165"/>
      <c r="Q8" s="165"/>
      <c r="R8" s="165"/>
      <c r="S8" s="165"/>
      <c r="T8" s="165"/>
      <c r="U8" s="165"/>
      <c r="V8" s="165"/>
      <c r="W8" s="165"/>
      <c r="X8" s="165"/>
      <c r="Y8" s="165"/>
      <c r="Z8" s="165"/>
      <c r="AA8" s="165"/>
      <c r="AB8" s="165"/>
      <c r="AC8" s="165"/>
      <c r="AD8" s="165"/>
      <c r="AE8" s="165"/>
      <c r="AF8" s="176"/>
      <c r="AG8" s="165"/>
      <c r="AH8" s="165"/>
      <c r="AI8" s="165"/>
      <c r="AJ8" s="165"/>
      <c r="AK8" s="165"/>
      <c r="AL8" s="165"/>
      <c r="AM8" s="165"/>
      <c r="AN8" s="165"/>
      <c r="AO8" s="165" t="s">
        <v>11</v>
      </c>
      <c r="AP8" s="165"/>
      <c r="AQ8" s="165"/>
      <c r="AR8" s="165"/>
      <c r="AS8" s="165" t="s">
        <v>139</v>
      </c>
      <c r="AT8" s="165"/>
      <c r="AU8" s="165"/>
    </row>
    <row r="9" spans="1:47" ht="18">
      <c r="A9" s="170"/>
      <c r="B9" s="170"/>
      <c r="C9" s="196" t="s">
        <v>99</v>
      </c>
      <c r="D9" s="362">
        <f>IF(D8&lt;=0,0,IF(D7&lt;=0,0,IF(((D8-D7)+1)&gt;30,30,(D8-D7)+1+J7)))</f>
        <v>30</v>
      </c>
      <c r="E9" s="362"/>
      <c r="F9" s="362"/>
      <c r="G9" s="362"/>
      <c r="H9" s="362"/>
      <c r="I9" s="179">
        <f>IF(D9&gt;=30,0,IF(AF9="01/10/2008 den Önceki+Normal Dönem","!!! Dikkat Hata Yapıyorsunuz Kontrol Edin,Eski Personel İçin 30 Günden Az İse Normal Dönem Giremezsiniz",0))</f>
        <v>0</v>
      </c>
      <c r="J9" s="178"/>
      <c r="K9" s="165"/>
      <c r="L9" s="165"/>
      <c r="M9" s="165"/>
      <c r="N9" s="165"/>
      <c r="O9" s="165"/>
      <c r="P9" s="165"/>
      <c r="Q9" s="165"/>
      <c r="R9" s="165"/>
      <c r="S9" s="165"/>
      <c r="T9" s="165"/>
      <c r="U9" s="165"/>
      <c r="V9" s="165"/>
      <c r="W9" s="165"/>
      <c r="X9" s="165"/>
      <c r="Y9" s="165"/>
      <c r="Z9" s="165"/>
      <c r="AA9" s="165"/>
      <c r="AB9" s="165"/>
      <c r="AC9" s="165"/>
      <c r="AD9" s="165"/>
      <c r="AE9" s="165"/>
      <c r="AF9" s="176" t="str">
        <f>CONCATENATE(D5,"+",D6)</f>
        <v>657 4 / c+Normal Dönem</v>
      </c>
      <c r="AG9" s="165"/>
      <c r="AH9" s="165"/>
      <c r="AI9" s="165"/>
      <c r="AJ9" s="165"/>
      <c r="AK9" s="165"/>
      <c r="AL9" s="165"/>
      <c r="AM9" s="165"/>
      <c r="AN9" s="165"/>
      <c r="AO9" s="165" t="s">
        <v>10</v>
      </c>
      <c r="AP9" s="165"/>
      <c r="AQ9" s="165"/>
      <c r="AR9" s="165"/>
      <c r="AS9" s="165" t="s">
        <v>140</v>
      </c>
      <c r="AT9" s="165"/>
      <c r="AU9" s="165"/>
    </row>
    <row r="10" spans="1:47" ht="30" customHeight="1">
      <c r="A10" s="170"/>
      <c r="B10" s="170"/>
      <c r="C10" s="147" t="s">
        <v>91</v>
      </c>
      <c r="D10" s="373" t="s">
        <v>285</v>
      </c>
      <c r="E10" s="373"/>
      <c r="F10" s="373"/>
      <c r="G10" s="373"/>
      <c r="H10" s="373"/>
      <c r="I10" s="373"/>
      <c r="J10" s="373"/>
      <c r="K10" s="165"/>
      <c r="L10" s="165"/>
      <c r="M10" s="165"/>
      <c r="N10" s="165"/>
      <c r="O10" s="165"/>
      <c r="P10" s="165"/>
      <c r="Q10" s="165"/>
      <c r="R10" s="165"/>
      <c r="S10" s="190"/>
      <c r="T10" s="165"/>
      <c r="U10" s="165"/>
      <c r="V10" s="165"/>
      <c r="W10" s="165"/>
      <c r="X10" s="165"/>
      <c r="Y10" s="165"/>
      <c r="Z10" s="165"/>
      <c r="AA10" s="165"/>
      <c r="AB10" s="165"/>
      <c r="AC10" s="165"/>
      <c r="AD10" s="165"/>
      <c r="AE10" s="165"/>
      <c r="AF10" s="165" t="s">
        <v>95</v>
      </c>
      <c r="AG10" s="165"/>
      <c r="AH10" s="165"/>
      <c r="AI10" s="165"/>
      <c r="AJ10" s="165"/>
      <c r="AK10" s="165"/>
      <c r="AL10" s="165"/>
      <c r="AM10" s="165"/>
      <c r="AN10" s="165"/>
      <c r="AO10" s="165" t="s">
        <v>5</v>
      </c>
      <c r="AP10" s="165"/>
      <c r="AQ10" s="165"/>
      <c r="AR10" s="165"/>
      <c r="AS10" s="165" t="s">
        <v>141</v>
      </c>
      <c r="AT10" s="165"/>
      <c r="AU10" s="165"/>
    </row>
    <row r="11" spans="1:47" ht="21.75" customHeight="1">
      <c r="A11" s="170"/>
      <c r="B11" s="170"/>
      <c r="C11" s="197" t="s">
        <v>92</v>
      </c>
      <c r="D11" s="384">
        <f>IF(ISERROR(VLOOKUP(D10,'Personel Listesi'!C6:AZ165,5,FALSE)),0,VLOOKUP(D10,'Personel Listesi'!C6:AZ165,5,FALSE))</f>
        <v>0</v>
      </c>
      <c r="E11" s="384"/>
      <c r="F11" s="384"/>
      <c r="G11" s="384"/>
      <c r="H11" s="384"/>
      <c r="I11" s="384"/>
      <c r="J11" s="181"/>
      <c r="K11" s="165"/>
      <c r="L11" s="165"/>
      <c r="M11" s="165"/>
      <c r="N11" s="165"/>
      <c r="O11" s="165"/>
      <c r="P11" s="165"/>
      <c r="Q11" s="165"/>
      <c r="R11" s="165"/>
      <c r="S11" s="405"/>
      <c r="T11" s="405"/>
      <c r="U11" s="405"/>
      <c r="V11" s="405"/>
      <c r="W11" s="165"/>
      <c r="X11" s="165"/>
      <c r="Y11" s="165"/>
      <c r="Z11" s="165"/>
      <c r="AA11" s="165"/>
      <c r="AB11" s="165"/>
      <c r="AC11" s="165"/>
      <c r="AD11" s="165"/>
      <c r="AE11" s="165"/>
      <c r="AF11" s="165" t="s">
        <v>96</v>
      </c>
      <c r="AG11" s="165"/>
      <c r="AH11" s="165"/>
      <c r="AI11" s="165"/>
      <c r="AJ11" s="165"/>
      <c r="AK11" s="165"/>
      <c r="AL11" s="165"/>
      <c r="AM11" s="165"/>
      <c r="AN11" s="165"/>
      <c r="AO11" s="165" t="s">
        <v>9</v>
      </c>
      <c r="AP11" s="165"/>
      <c r="AQ11" s="165"/>
      <c r="AR11" s="165"/>
      <c r="AS11" s="165" t="s">
        <v>142</v>
      </c>
      <c r="AT11" s="165"/>
      <c r="AU11" s="165"/>
    </row>
    <row r="12" spans="1:47" ht="19.5" customHeight="1">
      <c r="A12" s="170"/>
      <c r="B12" s="170"/>
      <c r="C12" s="147" t="s">
        <v>240</v>
      </c>
      <c r="D12" s="384">
        <f>IF(ISERROR(VLOOKUP(D10,'Personel Listesi'!C6:AZ166,6,FALSE)),0,VLOOKUP(D10,'Personel Listesi'!C6:AZ166,6,FALSE))</f>
        <v>0</v>
      </c>
      <c r="E12" s="384"/>
      <c r="F12" s="384"/>
      <c r="G12" s="384"/>
      <c r="H12" s="384"/>
      <c r="I12" s="384"/>
      <c r="J12" s="181"/>
      <c r="K12" s="165"/>
      <c r="L12" s="165"/>
      <c r="M12" s="165"/>
      <c r="N12" s="165"/>
      <c r="O12" s="165"/>
      <c r="P12" s="165"/>
      <c r="Q12" s="165"/>
      <c r="R12" s="165"/>
      <c r="S12" s="405"/>
      <c r="T12" s="405"/>
      <c r="U12" s="405"/>
      <c r="V12" s="405"/>
      <c r="W12" s="165"/>
      <c r="X12" s="165"/>
      <c r="Y12" s="165"/>
      <c r="Z12" s="165"/>
      <c r="AA12" s="165"/>
      <c r="AB12" s="165"/>
      <c r="AC12" s="165"/>
      <c r="AD12" s="165"/>
      <c r="AE12" s="165"/>
      <c r="AF12" s="165" t="s">
        <v>158</v>
      </c>
      <c r="AG12" s="165"/>
      <c r="AH12" s="165"/>
      <c r="AI12" s="165" t="s">
        <v>160</v>
      </c>
      <c r="AJ12" s="165"/>
      <c r="AK12" s="165"/>
      <c r="AL12" s="165"/>
      <c r="AM12" s="165"/>
      <c r="AN12" s="165"/>
      <c r="AO12" s="165"/>
      <c r="AP12" s="165"/>
      <c r="AQ12" s="165"/>
      <c r="AR12" s="165"/>
      <c r="AS12" s="165" t="s">
        <v>143</v>
      </c>
      <c r="AT12" s="165"/>
      <c r="AU12" s="165"/>
    </row>
    <row r="13" spans="1:47" ht="19.5" customHeight="1">
      <c r="A13" s="170"/>
      <c r="B13" s="170"/>
      <c r="C13" s="198" t="s">
        <v>278</v>
      </c>
      <c r="D13" s="379" t="str">
        <f>IF(ISERROR(VLOOKUP(D10,'Personel Listesi'!C6:AZ165,14,FALSE)),0,VLOOKUP(D10,'Personel Listesi'!C6:AZ165,14,FALSE))</f>
        <v>Hayır</v>
      </c>
      <c r="E13" s="379"/>
      <c r="F13" s="379"/>
      <c r="G13" s="379"/>
      <c r="H13" s="379"/>
      <c r="I13" s="181"/>
      <c r="J13" s="181"/>
      <c r="K13" s="180"/>
      <c r="L13" s="165"/>
      <c r="M13" s="165"/>
      <c r="N13" s="165"/>
      <c r="O13" s="165"/>
      <c r="P13" s="165"/>
      <c r="Q13" s="165"/>
      <c r="R13" s="165"/>
      <c r="S13" s="405"/>
      <c r="T13" s="405"/>
      <c r="U13" s="405"/>
      <c r="V13" s="405"/>
      <c r="W13" s="165"/>
      <c r="X13" s="165"/>
      <c r="Y13" s="165"/>
      <c r="Z13" s="165"/>
      <c r="AA13" s="165"/>
      <c r="AB13" s="165"/>
      <c r="AC13" s="165"/>
      <c r="AD13" s="165"/>
      <c r="AE13" s="165"/>
      <c r="AF13" s="165"/>
      <c r="AG13" s="165"/>
      <c r="AH13" s="165"/>
      <c r="AI13" s="165" t="s">
        <v>161</v>
      </c>
      <c r="AJ13" s="165"/>
      <c r="AK13" s="165"/>
      <c r="AL13" s="165"/>
      <c r="AM13" s="165"/>
      <c r="AN13" s="165"/>
      <c r="AO13" s="165"/>
      <c r="AP13" s="165"/>
      <c r="AQ13" s="165"/>
      <c r="AR13" s="165"/>
      <c r="AS13" s="165" t="s">
        <v>144</v>
      </c>
      <c r="AT13" s="165"/>
      <c r="AU13" s="165"/>
    </row>
    <row r="14" spans="1:47" ht="19.5" customHeight="1">
      <c r="A14" s="170"/>
      <c r="B14" s="170"/>
      <c r="C14" s="148">
        <f>IF(D13="evet"," Ek Tazminat Neti TL",0)</f>
        <v>0</v>
      </c>
      <c r="D14" s="380"/>
      <c r="E14" s="380"/>
      <c r="F14" s="380"/>
      <c r="G14" s="380"/>
      <c r="H14" s="380"/>
      <c r="I14" s="183"/>
      <c r="J14" s="181"/>
      <c r="K14" s="181"/>
      <c r="L14" s="181"/>
      <c r="M14" s="366" t="s">
        <v>136</v>
      </c>
      <c r="N14" s="366"/>
      <c r="O14" s="165"/>
      <c r="P14" s="165"/>
      <c r="Q14" s="165"/>
      <c r="R14" s="165"/>
      <c r="S14" s="405"/>
      <c r="T14" s="405"/>
      <c r="U14" s="405"/>
      <c r="V14" s="405"/>
      <c r="W14" s="165"/>
      <c r="X14" s="165"/>
      <c r="Y14" s="165"/>
      <c r="Z14" s="165"/>
      <c r="AA14" s="165"/>
      <c r="AB14" s="165"/>
      <c r="AC14" s="165"/>
      <c r="AD14" s="165"/>
      <c r="AE14" s="165"/>
      <c r="AF14" s="165" t="s">
        <v>115</v>
      </c>
      <c r="AG14" s="165"/>
      <c r="AH14" s="165"/>
      <c r="AI14" s="165"/>
      <c r="AJ14" s="165"/>
      <c r="AK14" s="165"/>
      <c r="AL14" s="165"/>
      <c r="AM14" s="165"/>
      <c r="AN14" s="165"/>
      <c r="AO14" s="165"/>
      <c r="AP14" s="165"/>
      <c r="AQ14" s="165"/>
      <c r="AR14" s="165"/>
      <c r="AS14" s="165" t="s">
        <v>145</v>
      </c>
      <c r="AT14" s="165"/>
      <c r="AU14" s="165"/>
    </row>
    <row r="15" spans="1:47" ht="19.5" customHeight="1">
      <c r="A15" s="170"/>
      <c r="B15" s="170"/>
      <c r="C15" s="198" t="s">
        <v>251</v>
      </c>
      <c r="D15" s="385">
        <f>IF(ISERROR(VLOOKUP(D10,'Personel Listesi'!C6:BB166,52,FALSE)),0,VLOOKUP(D10,'Personel Listesi'!C6:BB166,52,FALSE))</f>
        <v>1800</v>
      </c>
      <c r="E15" s="385"/>
      <c r="F15" s="385"/>
      <c r="G15" s="385"/>
      <c r="H15" s="385"/>
      <c r="I15" s="183"/>
      <c r="J15" s="181"/>
      <c r="K15" s="181"/>
      <c r="L15" s="181"/>
      <c r="M15" s="366" t="s">
        <v>280</v>
      </c>
      <c r="N15" s="366"/>
      <c r="O15" s="366"/>
      <c r="P15" s="165"/>
      <c r="Q15" s="165"/>
      <c r="R15" s="165"/>
      <c r="S15" s="405"/>
      <c r="T15" s="405"/>
      <c r="U15" s="405"/>
      <c r="V15" s="405"/>
      <c r="W15" s="165"/>
      <c r="X15" s="165"/>
      <c r="Y15" s="165"/>
      <c r="Z15" s="165"/>
      <c r="AA15" s="165"/>
      <c r="AB15" s="165"/>
      <c r="AC15" s="165"/>
      <c r="AD15" s="165"/>
      <c r="AE15" s="165"/>
      <c r="AF15" s="165" t="s">
        <v>159</v>
      </c>
      <c r="AG15" s="165"/>
      <c r="AH15" s="165"/>
      <c r="AI15" s="165"/>
      <c r="AJ15" s="165"/>
      <c r="AK15" s="165"/>
      <c r="AL15" s="165"/>
      <c r="AM15" s="165"/>
      <c r="AN15" s="165"/>
      <c r="AO15" s="165"/>
      <c r="AP15" s="165"/>
      <c r="AQ15" s="165"/>
      <c r="AR15" s="165"/>
      <c r="AS15" s="165" t="s">
        <v>146</v>
      </c>
      <c r="AT15" s="165"/>
      <c r="AU15" s="165"/>
    </row>
    <row r="16" spans="1:47" ht="24" customHeight="1">
      <c r="A16" s="170"/>
      <c r="B16" s="170"/>
      <c r="C16" s="147"/>
      <c r="D16" s="385"/>
      <c r="E16" s="385"/>
      <c r="F16" s="385"/>
      <c r="G16" s="385"/>
      <c r="H16" s="385"/>
      <c r="I16" s="181"/>
      <c r="J16" s="181"/>
      <c r="K16" s="180"/>
      <c r="L16" s="165"/>
      <c r="M16" s="165"/>
      <c r="N16" s="165"/>
      <c r="O16" s="165"/>
      <c r="P16" s="165"/>
      <c r="Q16" s="165"/>
      <c r="R16" s="165"/>
      <c r="S16" s="405"/>
      <c r="T16" s="405"/>
      <c r="U16" s="405"/>
      <c r="V16" s="405"/>
      <c r="W16" s="165"/>
      <c r="X16" s="165"/>
      <c r="Y16" s="165"/>
      <c r="Z16" s="165"/>
      <c r="AA16" s="165"/>
      <c r="AB16" s="165"/>
      <c r="AC16" s="165"/>
      <c r="AD16" s="165"/>
      <c r="AE16" s="165"/>
      <c r="AF16" s="165" t="s">
        <v>152</v>
      </c>
      <c r="AG16" s="165"/>
      <c r="AH16" s="165"/>
      <c r="AI16" s="165"/>
      <c r="AJ16" s="165" t="s">
        <v>130</v>
      </c>
      <c r="AK16" s="165"/>
      <c r="AL16" s="165"/>
      <c r="AM16" s="165"/>
      <c r="AN16" s="165"/>
      <c r="AO16" s="165"/>
      <c r="AP16" s="165"/>
      <c r="AQ16" s="165"/>
      <c r="AR16" s="165"/>
      <c r="AS16" s="165" t="s">
        <v>147</v>
      </c>
      <c r="AT16" s="165"/>
      <c r="AU16" s="165"/>
    </row>
    <row r="17" spans="1:47" ht="19.5">
      <c r="A17" s="170"/>
      <c r="B17" s="170"/>
      <c r="C17" s="151" t="s">
        <v>17</v>
      </c>
      <c r="D17" s="379" t="str">
        <f>IF(D10="",0,"Evet")</f>
        <v>Evet</v>
      </c>
      <c r="E17" s="379"/>
      <c r="F17" s="379"/>
      <c r="G17" s="379"/>
      <c r="H17" s="379"/>
      <c r="I17" s="184"/>
      <c r="J17" s="181"/>
      <c r="K17" s="180"/>
      <c r="L17" s="165"/>
      <c r="M17" s="165"/>
      <c r="N17" s="165"/>
      <c r="O17" s="165"/>
      <c r="P17" s="165"/>
      <c r="Q17" s="165"/>
      <c r="R17" s="165"/>
      <c r="S17" s="405"/>
      <c r="T17" s="405"/>
      <c r="U17" s="405"/>
      <c r="V17" s="405"/>
      <c r="W17" s="165"/>
      <c r="X17" s="165"/>
      <c r="Y17" s="165"/>
      <c r="Z17" s="165"/>
      <c r="AA17" s="165"/>
      <c r="AB17" s="165"/>
      <c r="AC17" s="165"/>
      <c r="AD17" s="165"/>
      <c r="AE17" s="165"/>
      <c r="AF17" s="165" t="s">
        <v>153</v>
      </c>
      <c r="AG17" s="165"/>
      <c r="AH17" s="165"/>
      <c r="AI17" s="165"/>
      <c r="AJ17" s="165" t="s">
        <v>132</v>
      </c>
      <c r="AK17" s="165"/>
      <c r="AL17" s="165"/>
      <c r="AM17" s="165"/>
      <c r="AN17" s="165"/>
      <c r="AO17" s="165"/>
      <c r="AP17" s="165"/>
      <c r="AQ17" s="165"/>
      <c r="AR17" s="165"/>
      <c r="AS17" s="165"/>
      <c r="AT17" s="165"/>
      <c r="AU17" s="165"/>
    </row>
    <row r="18" spans="1:47" ht="19.5">
      <c r="A18" s="170"/>
      <c r="B18" s="170"/>
      <c r="C18" s="180"/>
      <c r="D18" s="180"/>
      <c r="E18" s="180"/>
      <c r="F18" s="180"/>
      <c r="G18" s="180"/>
      <c r="H18" s="180"/>
      <c r="I18" s="180"/>
      <c r="J18" s="180"/>
      <c r="K18" s="180"/>
      <c r="L18" s="165"/>
      <c r="M18" s="165"/>
      <c r="N18" s="165"/>
      <c r="O18" s="165"/>
      <c r="P18" s="165"/>
      <c r="Q18" s="165"/>
      <c r="R18" s="165"/>
      <c r="S18" s="165"/>
      <c r="T18" s="165"/>
      <c r="U18" s="165"/>
      <c r="V18" s="165"/>
      <c r="W18" s="165"/>
      <c r="X18" s="165"/>
      <c r="Y18" s="165"/>
      <c r="Z18" s="165"/>
      <c r="AA18" s="165"/>
      <c r="AB18" s="165"/>
      <c r="AC18" s="165"/>
      <c r="AD18" s="165"/>
      <c r="AE18" s="165"/>
      <c r="AF18" s="165" t="s">
        <v>154</v>
      </c>
      <c r="AG18" s="165"/>
      <c r="AH18" s="165"/>
      <c r="AI18" s="165"/>
      <c r="AJ18" s="165" t="s">
        <v>133</v>
      </c>
      <c r="AK18" s="165"/>
      <c r="AL18" s="165"/>
      <c r="AM18" s="165"/>
      <c r="AN18" s="165"/>
      <c r="AO18" s="165"/>
      <c r="AP18" s="165"/>
      <c r="AQ18" s="165"/>
      <c r="AR18" s="165"/>
      <c r="AS18" s="165"/>
      <c r="AT18" s="165"/>
      <c r="AU18" s="165"/>
    </row>
    <row r="19" spans="1:47" ht="19.5">
      <c r="A19" s="170"/>
      <c r="B19" s="170"/>
      <c r="C19" s="363" t="str">
        <f>IF(D4="",0,"Maaş Bilgileri")</f>
        <v>Maaş Bilgileri</v>
      </c>
      <c r="D19" s="363"/>
      <c r="E19" s="363"/>
      <c r="F19" s="363"/>
      <c r="G19" s="363"/>
      <c r="H19" s="182"/>
      <c r="I19" s="364" t="str">
        <f>IF(D4="",0,"Aile ve Çocuk Bilgileri")</f>
        <v>Aile ve Çocuk Bilgileri</v>
      </c>
      <c r="J19" s="364"/>
      <c r="K19" s="364"/>
      <c r="L19" s="364"/>
      <c r="M19" s="364"/>
      <c r="N19" s="364"/>
      <c r="O19" s="165"/>
      <c r="P19" s="165"/>
      <c r="Q19" s="165"/>
      <c r="R19" s="165"/>
      <c r="S19" s="165"/>
      <c r="T19" s="165"/>
      <c r="U19" s="165"/>
      <c r="V19" s="165"/>
      <c r="W19" s="165"/>
      <c r="X19" s="165"/>
      <c r="Y19" s="165"/>
      <c r="Z19" s="165"/>
      <c r="AA19" s="165"/>
      <c r="AB19" s="165"/>
      <c r="AC19" s="165"/>
      <c r="AD19" s="165"/>
      <c r="AE19" s="165"/>
      <c r="AF19" s="165" t="s">
        <v>155</v>
      </c>
      <c r="AG19" s="165"/>
      <c r="AH19" s="165"/>
      <c r="AI19" s="165"/>
      <c r="AJ19" s="165"/>
      <c r="AK19" s="165"/>
      <c r="AL19" s="165"/>
      <c r="AM19" s="165"/>
      <c r="AN19" s="165"/>
      <c r="AO19" s="165"/>
      <c r="AP19" s="165"/>
      <c r="AQ19" s="165"/>
      <c r="AR19" s="165"/>
      <c r="AS19" s="165"/>
      <c r="AT19" s="165"/>
      <c r="AU19" s="165"/>
    </row>
    <row r="20" spans="1:47" ht="36" customHeight="1">
      <c r="A20" s="165"/>
      <c r="B20" s="165"/>
      <c r="C20" s="128" t="str">
        <f>IF(D4="",0,"Sözleşme Ücreti Aylık")</f>
        <v>Sözleşme Ücreti Aylık</v>
      </c>
      <c r="D20" s="381">
        <f>IF(ISERROR(VLOOKUP($D$10,'Personel Listesi'!$C$6:$AZ$150,12,FALSE)),0,VLOOKUP($D$10,'Personel Listesi'!$C$6:$AZ$150,12,FALSE))</f>
        <v>2650.64</v>
      </c>
      <c r="E20" s="382"/>
      <c r="F20" s="382"/>
      <c r="G20" s="383"/>
      <c r="H20" s="180"/>
      <c r="I20" s="395" t="str">
        <f>IF(D4="",0,"Aile Durumu")</f>
        <v>Aile Durumu</v>
      </c>
      <c r="J20" s="396"/>
      <c r="K20" s="387" t="str">
        <f>IF(I20=0,0,IF(ISERROR(VLOOKUP($D$10,'Personel Listesi'!$C$6:$AZ$150,16,FALSE)),0,VLOOKUP($D$10,'Personel Listesi'!$C$6:$AZ$150,16,FALSE)))</f>
        <v>Evli Eşi Çalışmıyor</v>
      </c>
      <c r="L20" s="387"/>
      <c r="M20" s="387"/>
      <c r="N20" s="134"/>
      <c r="O20" s="165"/>
      <c r="P20" s="165"/>
      <c r="Q20" s="165"/>
      <c r="R20" s="165"/>
      <c r="S20" s="165"/>
      <c r="T20" s="165"/>
      <c r="U20" s="165"/>
      <c r="V20" s="165"/>
      <c r="W20" s="165"/>
      <c r="X20" s="165"/>
      <c r="Y20" s="165"/>
      <c r="Z20" s="165"/>
      <c r="AA20" s="165"/>
      <c r="AB20" s="165"/>
      <c r="AC20" s="165"/>
      <c r="AD20" s="165"/>
      <c r="AE20" s="165"/>
      <c r="AF20" s="192" t="s">
        <v>21</v>
      </c>
      <c r="AG20" s="190"/>
      <c r="AH20" s="165"/>
      <c r="AI20" s="165"/>
      <c r="AJ20" s="165"/>
      <c r="AK20" s="165"/>
      <c r="AL20" s="165"/>
      <c r="AM20" s="165"/>
      <c r="AN20" s="165"/>
      <c r="AO20" s="165"/>
      <c r="AP20" s="165"/>
      <c r="AQ20" s="165"/>
      <c r="AR20" s="165"/>
      <c r="AS20" s="165"/>
      <c r="AT20" s="165"/>
      <c r="AU20" s="165"/>
    </row>
    <row r="21" spans="1:47" ht="33.75" customHeight="1">
      <c r="A21" s="165"/>
      <c r="B21" s="165"/>
      <c r="C21" s="128" t="str">
        <f>IF(D4="",0,"Sözleşme Ücreti Günlük")</f>
        <v>Sözleşme Ücreti Günlük</v>
      </c>
      <c r="D21" s="392">
        <f>ROUNDUP(IF(ISERROR(VLOOKUP($D$10,'Personel Listesi'!$C$6:$AZ$150,11,FALSE)),0,VLOOKUP($D$10,'Personel Listesi'!$C$6:$AZ$150,11,FALSE)),4)</f>
        <v>88.3547</v>
      </c>
      <c r="E21" s="393"/>
      <c r="F21" s="393"/>
      <c r="G21" s="394"/>
      <c r="H21" s="180"/>
      <c r="I21" s="389" t="str">
        <f>IF(D4="",0,"Çocuk Yardımı Puan Toplamı")</f>
        <v>Çocuk Yardımı Puan Toplamı</v>
      </c>
      <c r="J21" s="390"/>
      <c r="K21" s="387">
        <f>IF(ISERROR(VLOOKUP($D$10,'Personel Listesi'!$C$6:$AZ$150,30,FALSE)),0,VLOOKUP($D$10,'Personel Listesi'!$C$6:$AZ$150,30,FALSE))</f>
        <v>1188</v>
      </c>
      <c r="L21" s="387"/>
      <c r="M21" s="387"/>
      <c r="N21" s="133"/>
      <c r="O21" s="165"/>
      <c r="P21" s="165"/>
      <c r="Q21" s="165"/>
      <c r="R21" s="165"/>
      <c r="S21" s="165"/>
      <c r="T21" s="165"/>
      <c r="U21" s="165"/>
      <c r="V21" s="165"/>
      <c r="W21" s="165"/>
      <c r="X21" s="165"/>
      <c r="Y21" s="165"/>
      <c r="Z21" s="165"/>
      <c r="AA21" s="165"/>
      <c r="AB21" s="165"/>
      <c r="AC21" s="165"/>
      <c r="AD21" s="165"/>
      <c r="AE21" s="165"/>
      <c r="AF21" s="192"/>
      <c r="AG21" s="193"/>
      <c r="AH21" s="165"/>
      <c r="AI21" s="165"/>
      <c r="AJ21" s="165" t="s">
        <v>26</v>
      </c>
      <c r="AK21" s="165"/>
      <c r="AL21" s="165"/>
      <c r="AM21" s="165"/>
      <c r="AN21" s="165"/>
      <c r="AO21" s="165"/>
      <c r="AP21" s="165"/>
      <c r="AQ21" s="165"/>
      <c r="AR21" s="165"/>
      <c r="AS21" s="165"/>
      <c r="AT21" s="165"/>
      <c r="AU21" s="165"/>
    </row>
    <row r="22" spans="1:47" ht="41.25" customHeight="1">
      <c r="A22" s="165"/>
      <c r="B22" s="165"/>
      <c r="C22" s="152" t="str">
        <f>IF(D4="",0,"Asgari Ücret Taban  (Günlük)")</f>
        <v>Asgari Ücret Taban  (Günlük)</v>
      </c>
      <c r="D22" s="381">
        <f>IF(ISERROR(IF(D20&lt;=0,0,VLOOKUP($C$22,Katsayılar!$E$5:$F$6,2,FALSE))),0,IF(D20&lt;=0,0,VLOOKUP($C$22,Katsayılar!$E$5:$F$6,2,FALSE)))</f>
        <v>59.25</v>
      </c>
      <c r="E22" s="382"/>
      <c r="F22" s="382"/>
      <c r="G22" s="383"/>
      <c r="H22" s="180"/>
      <c r="I22" s="406" t="str">
        <f>IF(D4="",0,"Çocuk SayısıToplamı")</f>
        <v>Çocuk SayısıToplamı</v>
      </c>
      <c r="J22" s="406"/>
      <c r="K22" s="387">
        <f>IF(ISERROR(VLOOKUP($D$10,'Personel Listesi'!$C$6:$AZ$150,17,FALSE)),0,VLOOKUP($D$10,'Personel Listesi'!$C$6:$AZ$150,17,FALSE))</f>
        <v>3</v>
      </c>
      <c r="L22" s="387"/>
      <c r="M22" s="387"/>
      <c r="N22" s="133"/>
      <c r="O22" s="165"/>
      <c r="P22" s="165"/>
      <c r="Q22" s="165"/>
      <c r="R22" s="165"/>
      <c r="S22" s="165"/>
      <c r="T22" s="165"/>
      <c r="U22" s="165"/>
      <c r="V22" s="165"/>
      <c r="W22" s="165"/>
      <c r="X22" s="165"/>
      <c r="Y22" s="165"/>
      <c r="Z22" s="165"/>
      <c r="AA22" s="165"/>
      <c r="AB22" s="165"/>
      <c r="AC22" s="165"/>
      <c r="AD22" s="165"/>
      <c r="AE22" s="165"/>
      <c r="AF22" s="194"/>
      <c r="AG22" s="195"/>
      <c r="AH22" s="194"/>
      <c r="AI22" s="194"/>
      <c r="AJ22" s="194" t="s">
        <v>27</v>
      </c>
      <c r="AK22" s="165"/>
      <c r="AL22" s="165"/>
      <c r="AM22" s="190"/>
      <c r="AN22" s="165"/>
      <c r="AO22" s="165"/>
      <c r="AP22" s="165"/>
      <c r="AQ22" s="165"/>
      <c r="AR22" s="165"/>
      <c r="AS22" s="165"/>
      <c r="AT22" s="165"/>
      <c r="AU22" s="165"/>
    </row>
    <row r="23" spans="1:47" ht="19.5">
      <c r="A23" s="165"/>
      <c r="B23" s="165"/>
      <c r="C23" s="152" t="str">
        <f>IF(D4="",0,"Asgari Ücret Tavan (Günlük)")</f>
        <v>Asgari Ücret Tavan (Günlük)</v>
      </c>
      <c r="D23" s="381">
        <f>IF(ISERROR(IF($D$20&lt;=0,0,VLOOKUP($C$23,Katsayılar!$E$5:$F$6,2,FALSE))),0,IF($D$20&lt;=0,0,VLOOKUP($C$23,Katsayılar!$E$5:$F$6,2,FALSE)))</f>
        <v>444.375</v>
      </c>
      <c r="E23" s="382"/>
      <c r="F23" s="382"/>
      <c r="G23" s="383"/>
      <c r="H23" s="180"/>
      <c r="I23" s="365" t="str">
        <f>IF(D4="",0,"Kesintiler")</f>
        <v>Kesintiler</v>
      </c>
      <c r="J23" s="365"/>
      <c r="K23" s="365"/>
      <c r="L23" s="365"/>
      <c r="M23" s="365"/>
      <c r="N23" s="409" t="str">
        <f>IF(K24="Evet","Sendika Adı",0)</f>
        <v>Sendika Adı</v>
      </c>
      <c r="O23" s="409"/>
      <c r="P23" s="409"/>
      <c r="Q23" s="191" t="str">
        <f>IF(K24="Evet","Üye No",0)</f>
        <v>Üye No</v>
      </c>
      <c r="R23" s="165"/>
      <c r="S23" s="165"/>
      <c r="T23" s="165"/>
      <c r="U23" s="165"/>
      <c r="V23" s="165"/>
      <c r="W23" s="165"/>
      <c r="X23" s="165"/>
      <c r="Y23" s="165"/>
      <c r="Z23" s="165"/>
      <c r="AA23" s="165"/>
      <c r="AB23" s="165"/>
      <c r="AC23" s="165"/>
      <c r="AD23" s="165"/>
      <c r="AE23" s="165"/>
      <c r="AF23" s="185"/>
      <c r="AG23" s="185"/>
      <c r="AH23" s="185"/>
      <c r="AI23" s="185"/>
      <c r="AJ23" s="185"/>
      <c r="AK23" s="175"/>
      <c r="AL23" s="165"/>
      <c r="AM23" s="190"/>
      <c r="AN23" s="165"/>
      <c r="AO23" s="165"/>
      <c r="AP23" s="165"/>
      <c r="AQ23" s="165"/>
      <c r="AR23" s="165"/>
      <c r="AS23" s="165"/>
      <c r="AT23" s="165"/>
      <c r="AU23" s="165"/>
    </row>
    <row r="24" spans="1:47" ht="24.75" customHeight="1">
      <c r="A24" s="165"/>
      <c r="B24" s="165"/>
      <c r="C24" s="162" t="str">
        <f>IF($D$4="",0,"Normal Çalışılan Gün")</f>
        <v>Normal Çalışılan Gün</v>
      </c>
      <c r="D24" s="403">
        <v>30</v>
      </c>
      <c r="E24" s="403"/>
      <c r="F24" s="403"/>
      <c r="G24" s="403"/>
      <c r="H24" s="180"/>
      <c r="I24" s="398" t="str">
        <f>IF(D6="14 Günlük Maaş Farkı",0,IF(D4="",0,IF(D6="Kıst Dönem",0,IF(D6="Fark",0,"Sendikası Varmı"))))</f>
        <v>Sendikası Varmı</v>
      </c>
      <c r="J24" s="398"/>
      <c r="K24" s="387" t="str">
        <f>IF(D6="14 Günlük Maaş Farkı",0,IF(D6="Kıst Dönem",0,IF(D6="Fark",0,IF(ISERROR(VLOOKUP($D$10,'Personel Listesi'!$C$6:$AZ$150,34,FALSE)),0,VLOOKUP($D$10,'Personel Listesi'!$C$6:$AZ$150,34,FALSE)))))</f>
        <v>EVET</v>
      </c>
      <c r="L24" s="387"/>
      <c r="M24" s="387"/>
      <c r="N24" s="400" t="str">
        <f>IF(D6="Kıst Dönem",0,IF(D6="Fark",0,IF(D6="Kıst Dönem",0,IF(ISERROR(VLOOKUP($D$10,'Personel Listesi'!$C$6:$AZ$150,37,FALSE)),0,VLOOKUP($D$10,'Personel Listesi'!$C$6:$AZ$150,37,FALSE)))))</f>
        <v>ABC</v>
      </c>
      <c r="O24" s="401"/>
      <c r="P24" s="402"/>
      <c r="Q24" s="217">
        <f>IF(D6="Kıst Dönem",0,IF(D6="Fark",0,IF(ISERROR(VLOOKUP($D$10,'Personel Listesi'!$C$6:$AZ$150,36,FALSE)),0,VLOOKUP($D$10,'Personel Listesi'!$C$6:$AZ$150,36,FALSE))))</f>
        <v>1</v>
      </c>
      <c r="R24" s="165"/>
      <c r="S24" s="165"/>
      <c r="T24" s="165"/>
      <c r="U24" s="165"/>
      <c r="V24" s="165"/>
      <c r="W24" s="165"/>
      <c r="X24" s="165"/>
      <c r="Y24" s="165"/>
      <c r="Z24" s="165"/>
      <c r="AA24" s="165"/>
      <c r="AB24" s="165"/>
      <c r="AC24" s="165"/>
      <c r="AD24" s="165"/>
      <c r="AE24" s="165"/>
      <c r="AF24" s="185"/>
      <c r="AG24" s="185"/>
      <c r="AH24" s="185"/>
      <c r="AI24" s="185"/>
      <c r="AJ24" s="185"/>
      <c r="AK24" s="175"/>
      <c r="AL24" s="165"/>
      <c r="AM24" s="190"/>
      <c r="AN24" s="165"/>
      <c r="AO24" s="165"/>
      <c r="AP24" s="165"/>
      <c r="AQ24" s="165"/>
      <c r="AR24" s="165"/>
      <c r="AS24" s="165"/>
      <c r="AT24" s="165"/>
      <c r="AU24" s="165"/>
    </row>
    <row r="25" spans="1:47" ht="19.5">
      <c r="A25" s="165"/>
      <c r="B25" s="165"/>
      <c r="C25" s="155" t="str">
        <f>IF($D$4="",0,"Raporlu Gün")</f>
        <v>Raporlu Gün</v>
      </c>
      <c r="D25" s="342"/>
      <c r="E25" s="342"/>
      <c r="F25" s="342"/>
      <c r="G25" s="342"/>
      <c r="H25" s="180"/>
      <c r="I25" s="397" t="str">
        <f>IF(K24="Evet","Sendika Yardımı",0)</f>
        <v>Sendika Yardımı</v>
      </c>
      <c r="J25" s="397"/>
      <c r="K25" s="387" t="str">
        <f>IF(R25=FALSE,"Hayır",+R25)</f>
        <v>Hayır</v>
      </c>
      <c r="L25" s="387"/>
      <c r="M25" s="387"/>
      <c r="N25" s="165"/>
      <c r="O25" s="165"/>
      <c r="P25" s="165"/>
      <c r="Q25" s="165"/>
      <c r="R25" s="216" t="b">
        <f>IF(D6="Fark",0,IF(D6="Kıst Dönem",0,IF(D10="",0,IF(K24="Hayır",0,IF(D4="Ocak","Evet",IF(D4="Nisan","Evet",IF(D4="Temmuz","Evet",IF(D4="Ekim","Evet"))))))))</f>
        <v>0</v>
      </c>
      <c r="S25" s="165"/>
      <c r="T25" s="165"/>
      <c r="U25" s="165"/>
      <c r="V25" s="165"/>
      <c r="W25" s="165"/>
      <c r="X25" s="165"/>
      <c r="Y25" s="165"/>
      <c r="Z25" s="165"/>
      <c r="AA25" s="165"/>
      <c r="AB25" s="165"/>
      <c r="AC25" s="165"/>
      <c r="AD25" s="165"/>
      <c r="AE25" s="165"/>
      <c r="AF25" s="185"/>
      <c r="AG25" s="185"/>
      <c r="AH25" s="185"/>
      <c r="AI25" s="185"/>
      <c r="AJ25" s="185"/>
      <c r="AK25" s="175"/>
      <c r="AL25" s="165"/>
      <c r="AM25" s="190"/>
      <c r="AN25" s="165"/>
      <c r="AO25" s="165"/>
      <c r="AP25" s="165"/>
      <c r="AQ25" s="165"/>
      <c r="AR25" s="165"/>
      <c r="AS25" s="165"/>
      <c r="AT25" s="165"/>
      <c r="AU25" s="165"/>
    </row>
    <row r="26" spans="1:47" ht="30.75" customHeight="1">
      <c r="A26" s="165"/>
      <c r="B26" s="165"/>
      <c r="C26" s="156" t="str">
        <f>IF($D$4="",0,"Toplam Ödeme Günü")</f>
        <v>Toplam Ödeme Günü</v>
      </c>
      <c r="D26" s="349">
        <f>D24+D25</f>
        <v>30</v>
      </c>
      <c r="E26" s="404"/>
      <c r="F26" s="404"/>
      <c r="G26" s="404"/>
      <c r="H26" s="180"/>
      <c r="I26" s="337" t="str">
        <f>IF(D4="",0,"Maaştan Kesme Cezası Varsa Oranı ? / ? ")</f>
        <v>Maaştan Kesme Cezası Varsa Oranı ? / ? </v>
      </c>
      <c r="J26" s="338"/>
      <c r="K26" s="399"/>
      <c r="L26" s="399"/>
      <c r="M26" s="399"/>
      <c r="N26" s="408" t="str">
        <f>IF(D6="Kıst Dönem",0,IF(D4="",0,"BES"))</f>
        <v>BES</v>
      </c>
      <c r="O26" s="408"/>
      <c r="P26" s="408"/>
      <c r="Q26" s="165"/>
      <c r="R26" s="165"/>
      <c r="S26" s="165"/>
      <c r="T26" s="165"/>
      <c r="U26" s="165"/>
      <c r="V26" s="165"/>
      <c r="W26" s="165"/>
      <c r="X26" s="165"/>
      <c r="Y26" s="165"/>
      <c r="Z26" s="165"/>
      <c r="AA26" s="165"/>
      <c r="AB26" s="165"/>
      <c r="AC26" s="165"/>
      <c r="AD26" s="165"/>
      <c r="AE26" s="165"/>
      <c r="AF26" s="186"/>
      <c r="AG26" s="187"/>
      <c r="AH26" s="185"/>
      <c r="AI26" s="185"/>
      <c r="AJ26" s="185"/>
      <c r="AK26" s="175"/>
      <c r="AL26" s="165"/>
      <c r="AM26" s="190"/>
      <c r="AN26" s="165"/>
      <c r="AO26" s="165"/>
      <c r="AP26" s="165"/>
      <c r="AQ26" s="165"/>
      <c r="AR26" s="165"/>
      <c r="AS26" s="165"/>
      <c r="AT26" s="165"/>
      <c r="AU26" s="165"/>
    </row>
    <row r="27" spans="1:47" ht="34.5" customHeight="1">
      <c r="A27" s="165"/>
      <c r="B27" s="165"/>
      <c r="C27" s="156" t="str">
        <f>IF($D$4="",0,"Prime Eas Gün")</f>
        <v>Prime Eas Gün</v>
      </c>
      <c r="D27" s="404">
        <f>IF(D26&gt;30,30,D26)</f>
        <v>30</v>
      </c>
      <c r="E27" s="404"/>
      <c r="F27" s="404"/>
      <c r="G27" s="404"/>
      <c r="H27" s="180"/>
      <c r="I27" s="344" t="str">
        <f>IF(D4="",0,"Özel Kesinti / Kişi Borcu Vs. Tutarı")</f>
        <v>Özel Kesinti / Kişi Borcu Vs. Tutarı</v>
      </c>
      <c r="J27" s="345"/>
      <c r="K27" s="346"/>
      <c r="L27" s="346"/>
      <c r="M27" s="346"/>
      <c r="N27" s="407">
        <f>IF(D6="Kıst Dönem",0,IF(D6="Fark",0,IF(Q27=0,0,"Evet")))</f>
        <v>0</v>
      </c>
      <c r="O27" s="407"/>
      <c r="P27" s="407"/>
      <c r="Q27" s="346">
        <f>IF(D6="Kıst Dönem",0,IF(D6="Fark",0,IF(ISERROR(VLOOKUP(D10,'Personel Listesi'!C6:BC50,53,FALSE)),0,VLOOKUP(D10,'Personel Listesi'!C6:BC50,53,FALSE))))</f>
        <v>0</v>
      </c>
      <c r="R27" s="346"/>
      <c r="S27" s="346"/>
      <c r="T27" s="165"/>
      <c r="U27" s="165"/>
      <c r="V27" s="165"/>
      <c r="W27" s="165"/>
      <c r="X27" s="165"/>
      <c r="Y27" s="165"/>
      <c r="Z27" s="165"/>
      <c r="AA27" s="165"/>
      <c r="AB27" s="165"/>
      <c r="AC27" s="165"/>
      <c r="AD27" s="165"/>
      <c r="AE27" s="165"/>
      <c r="AF27" s="185"/>
      <c r="AG27" s="185"/>
      <c r="AH27" s="185"/>
      <c r="AI27" s="185"/>
      <c r="AJ27" s="185"/>
      <c r="AK27" s="175"/>
      <c r="AL27" s="165"/>
      <c r="AM27" s="190"/>
      <c r="AN27" s="165"/>
      <c r="AO27" s="165"/>
      <c r="AP27" s="165"/>
      <c r="AQ27" s="165"/>
      <c r="AR27" s="165"/>
      <c r="AS27" s="165"/>
      <c r="AT27" s="165"/>
      <c r="AU27" s="165"/>
    </row>
    <row r="28" spans="1:47" ht="27.75" customHeight="1">
      <c r="A28" s="165"/>
      <c r="B28" s="165"/>
      <c r="C28" s="153" t="str">
        <f>IF($D$4="",0,"Ücret Toplamı")</f>
        <v>Ücret Toplamı</v>
      </c>
      <c r="D28" s="343">
        <f>IF(ROUND(D26*D21,2)&gt;D20,+D20,(ROUND(D26*D21,2)))</f>
        <v>2650.64</v>
      </c>
      <c r="E28" s="343"/>
      <c r="F28" s="343"/>
      <c r="G28" s="343"/>
      <c r="H28" s="180"/>
      <c r="I28" s="337" t="str">
        <f>IF(D4="",0,"Normal İcra  Varmı ?")</f>
        <v>Normal İcra  Varmı ?</v>
      </c>
      <c r="J28" s="338"/>
      <c r="K28" s="346"/>
      <c r="L28" s="346"/>
      <c r="M28" s="346"/>
      <c r="N28" s="165"/>
      <c r="O28" s="165"/>
      <c r="P28" s="165"/>
      <c r="Q28" s="165"/>
      <c r="R28" s="165"/>
      <c r="S28" s="165"/>
      <c r="T28" s="165"/>
      <c r="U28" s="165"/>
      <c r="V28" s="165"/>
      <c r="W28" s="165"/>
      <c r="X28" s="165"/>
      <c r="Y28" s="165"/>
      <c r="Z28" s="165"/>
      <c r="AA28" s="165"/>
      <c r="AB28" s="165"/>
      <c r="AC28" s="165"/>
      <c r="AD28" s="165"/>
      <c r="AE28" s="165"/>
      <c r="AF28" s="188"/>
      <c r="AG28" s="189"/>
      <c r="AH28" s="185"/>
      <c r="AI28" s="185"/>
      <c r="AJ28" s="185"/>
      <c r="AK28" s="185"/>
      <c r="AL28" s="190"/>
      <c r="AM28" s="190"/>
      <c r="AN28" s="165"/>
      <c r="AO28" s="165"/>
      <c r="AP28" s="165"/>
      <c r="AQ28" s="165"/>
      <c r="AR28" s="165"/>
      <c r="AS28" s="165"/>
      <c r="AT28" s="165"/>
      <c r="AU28" s="165"/>
    </row>
    <row r="29" spans="1:47" ht="38.25" customHeight="1">
      <c r="A29" s="165"/>
      <c r="B29" s="165"/>
      <c r="C29" s="153" t="str">
        <f>IF($D$4="",0,"Çocuk Yardımından İlave Prime Esas Kazanç")</f>
        <v>Çocuk Yardımından İlave Prime Esas Kazanç</v>
      </c>
      <c r="D29" s="381">
        <f>IF(ISERROR(VLOOKUP(D10,istisnalar!B5:M18,12,FALSE)),0,VLOOKUP(D10,istisnalar!B5:M18,12,FALSE))/30*D26</f>
        <v>30.500000000000004</v>
      </c>
      <c r="E29" s="382"/>
      <c r="F29" s="382"/>
      <c r="G29" s="383"/>
      <c r="H29" s="180"/>
      <c r="I29" s="344" t="str">
        <f>IF(D4="",0,"Taahhütlü İcra Miktarı")</f>
        <v>Taahhütlü İcra Miktarı</v>
      </c>
      <c r="J29" s="345"/>
      <c r="K29" s="346"/>
      <c r="L29" s="346"/>
      <c r="M29" s="346"/>
      <c r="N29" s="165"/>
      <c r="O29" s="165"/>
      <c r="P29" s="165"/>
      <c r="Q29" s="165"/>
      <c r="R29" s="165"/>
      <c r="S29" s="165"/>
      <c r="T29" s="165"/>
      <c r="U29" s="165"/>
      <c r="V29" s="165"/>
      <c r="W29" s="165"/>
      <c r="X29" s="165"/>
      <c r="Y29" s="165"/>
      <c r="Z29" s="165"/>
      <c r="AA29" s="165"/>
      <c r="AB29" s="165"/>
      <c r="AC29" s="165"/>
      <c r="AD29" s="165"/>
      <c r="AE29" s="165"/>
      <c r="AF29" s="190"/>
      <c r="AG29" s="190"/>
      <c r="AH29" s="190"/>
      <c r="AI29" s="190"/>
      <c r="AJ29" s="190"/>
      <c r="AK29" s="190"/>
      <c r="AL29" s="190"/>
      <c r="AM29" s="190"/>
      <c r="AN29" s="165"/>
      <c r="AO29" s="165"/>
      <c r="AP29" s="165"/>
      <c r="AQ29" s="165"/>
      <c r="AR29" s="165"/>
      <c r="AS29" s="165"/>
      <c r="AT29" s="165"/>
      <c r="AU29" s="165"/>
    </row>
    <row r="30" spans="1:47" ht="30">
      <c r="A30" s="165"/>
      <c r="B30" s="165"/>
      <c r="C30" s="153" t="str">
        <f>IF($D$4="",0,"Aile Yardımından İlave Prime Esas Kazanç")</f>
        <v>Aile Yardımından İlave Prime Esas Kazanç</v>
      </c>
      <c r="D30" s="381">
        <f>IF(ISERROR(VLOOKUP(D10,istisnalar!O5:V18,8,FALSE)),0,VLOOKUP(D10,istisnalar!O5:V18,8,FALSE))/30*D26</f>
        <v>0</v>
      </c>
      <c r="E30" s="382"/>
      <c r="F30" s="382"/>
      <c r="G30" s="383"/>
      <c r="H30" s="180"/>
      <c r="I30" s="337" t="str">
        <f>IF(D4="",0,"Sakatlık Durumu")</f>
        <v>Sakatlık Durumu</v>
      </c>
      <c r="J30" s="338"/>
      <c r="K30" s="388" t="str">
        <f>IF(ISERROR(VLOOKUP($D$10,'Personel Listesi'!$C$6:$AZ$150,45,FALSE)),0,VLOOKUP($D$10,'Personel Listesi'!$C$6:$AZ$150,45,FALSE))</f>
        <v>1.Derece</v>
      </c>
      <c r="L30" s="388"/>
      <c r="M30" s="388"/>
      <c r="N30" s="165"/>
      <c r="O30" s="165"/>
      <c r="P30" s="165"/>
      <c r="Q30" s="165"/>
      <c r="R30" s="165"/>
      <c r="S30" s="165"/>
      <c r="T30" s="165"/>
      <c r="U30" s="165"/>
      <c r="V30" s="165"/>
      <c r="W30" s="165"/>
      <c r="X30" s="165"/>
      <c r="Y30" s="165"/>
      <c r="Z30" s="165"/>
      <c r="AA30" s="165"/>
      <c r="AB30" s="165"/>
      <c r="AC30" s="165"/>
      <c r="AD30" s="165"/>
      <c r="AE30" s="165" t="s">
        <v>151</v>
      </c>
      <c r="AF30" s="190"/>
      <c r="AG30" s="190"/>
      <c r="AH30" s="165"/>
      <c r="AI30" s="165"/>
      <c r="AJ30" s="165"/>
      <c r="AK30" s="165"/>
      <c r="AL30" s="165"/>
      <c r="AM30" s="165"/>
      <c r="AN30" s="165"/>
      <c r="AO30" s="165"/>
      <c r="AP30" s="165"/>
      <c r="AQ30" s="165"/>
      <c r="AR30" s="165"/>
      <c r="AS30" s="165"/>
      <c r="AT30" s="165"/>
      <c r="AU30" s="165"/>
    </row>
    <row r="31" spans="1:47" ht="29.25" customHeight="1">
      <c r="A31" s="165"/>
      <c r="B31" s="165"/>
      <c r="C31" s="153" t="str">
        <f>IF($D$4="",0,"Prime Eas Kazanç")</f>
        <v>Prime Eas Kazanç</v>
      </c>
      <c r="D31" s="343">
        <f>IF(D28+D29+D30&gt;(D27*D23),(D27*D23),+D28+D29+D30)</f>
        <v>2681.14</v>
      </c>
      <c r="E31" s="343"/>
      <c r="F31" s="343"/>
      <c r="G31" s="343"/>
      <c r="H31" s="180"/>
      <c r="I31" s="344" t="str">
        <f>IF(D4="",0,"Kesinti Yapılacak Raporlu Gün Sayısı")</f>
        <v>Kesinti Yapılacak Raporlu Gün Sayısı</v>
      </c>
      <c r="J31" s="345"/>
      <c r="K31" s="391"/>
      <c r="L31" s="391"/>
      <c r="M31" s="391"/>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row>
    <row r="32" spans="1:47" ht="47.25" customHeight="1">
      <c r="A32" s="165"/>
      <c r="B32" s="165"/>
      <c r="C32" s="157">
        <f>IF(D4="",0,IF(D13="Evet","Yeni Ek Edeme Oranı %",0))</f>
        <v>0</v>
      </c>
      <c r="D32" s="349">
        <f>IF(ISERROR(VLOOKUP($D$10,'Personel Listesi'!$C$6:$AZ$150,15,FALSE)),0,VLOOKUP($D$10,'Personel Listesi'!$C$6:$AZ$150,15,FALSE))</f>
        <v>0</v>
      </c>
      <c r="E32" s="349"/>
      <c r="F32" s="349"/>
      <c r="G32" s="349"/>
      <c r="H32" s="180"/>
      <c r="I32" s="337" t="str">
        <f>IF(D4="",0,"Birikmiş Vergi Matrah Toplamı")</f>
        <v>Birikmiş Vergi Matrah Toplamı</v>
      </c>
      <c r="J32" s="338"/>
      <c r="K32" s="346">
        <v>20804</v>
      </c>
      <c r="L32" s="346"/>
      <c r="M32" s="346"/>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row>
    <row r="33" spans="1:47" ht="35.25" customHeight="1">
      <c r="A33" s="165"/>
      <c r="B33" s="165"/>
      <c r="C33" s="157">
        <f>IF(D4="",0,IF(D13="Evet","Eski Ek Edeme Oranı %",0))</f>
        <v>0</v>
      </c>
      <c r="D33" s="349"/>
      <c r="E33" s="349"/>
      <c r="F33" s="349"/>
      <c r="G33" s="349"/>
      <c r="H33" s="180"/>
      <c r="I33" s="350"/>
      <c r="J33" s="350"/>
      <c r="K33" s="346"/>
      <c r="L33" s="346"/>
      <c r="M33" s="346"/>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row>
    <row r="34" spans="1:47" ht="37.5" customHeight="1" thickBot="1">
      <c r="A34" s="165"/>
      <c r="B34" s="165"/>
      <c r="C34" s="157">
        <f>IF(D4="",0,IF(D13="Evet","Fark Ek Edeme Oranı %",0))</f>
        <v>0</v>
      </c>
      <c r="D34" s="349">
        <f>D32-D33</f>
        <v>0</v>
      </c>
      <c r="E34" s="349"/>
      <c r="F34" s="349"/>
      <c r="G34" s="349"/>
      <c r="H34" s="180"/>
      <c r="I34" s="370" t="str">
        <f>IF(D4="",0,"Doğum Yardımı")</f>
        <v>Doğum Yardımı</v>
      </c>
      <c r="J34" s="370"/>
      <c r="K34" s="369"/>
      <c r="L34" s="369"/>
      <c r="M34" s="369"/>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353" t="s">
        <v>110</v>
      </c>
      <c r="AN34" s="353"/>
      <c r="AO34" s="353"/>
      <c r="AP34" s="353"/>
      <c r="AQ34" s="353"/>
      <c r="AR34" s="165"/>
      <c r="AS34" s="165"/>
      <c r="AT34" s="165"/>
      <c r="AU34" s="165"/>
    </row>
    <row r="35" spans="1:47" ht="34.5" customHeight="1" thickBot="1">
      <c r="A35" s="165"/>
      <c r="B35" s="165"/>
      <c r="C35" s="165"/>
      <c r="D35" s="165"/>
      <c r="E35" s="165"/>
      <c r="F35" s="165"/>
      <c r="G35" s="165"/>
      <c r="H35" s="180"/>
      <c r="I35" s="350"/>
      <c r="J35" s="350"/>
      <c r="K35" s="346"/>
      <c r="L35" s="346"/>
      <c r="M35" s="346"/>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358" t="s">
        <v>47</v>
      </c>
      <c r="AN35" s="359"/>
      <c r="AO35" s="10"/>
      <c r="AP35" s="360" t="s">
        <v>48</v>
      </c>
      <c r="AQ35" s="361"/>
      <c r="AR35" s="165"/>
      <c r="AS35" s="165"/>
      <c r="AT35" s="165"/>
      <c r="AU35" s="165"/>
    </row>
    <row r="36" spans="1:47" ht="40.5" customHeight="1" hidden="1" thickBot="1">
      <c r="A36" s="165"/>
      <c r="B36" s="165"/>
      <c r="C36" s="165"/>
      <c r="D36" s="165"/>
      <c r="E36" s="165"/>
      <c r="F36" s="165"/>
      <c r="G36" s="165"/>
      <c r="H36" s="180"/>
      <c r="I36" s="367" t="str">
        <f>IF(D4="",0,IF(D6="Kıst Dönem",0,IF(D6="Fark",0,"Özel Siğorta  - TL")))</f>
        <v>Özel Siğorta  - TL</v>
      </c>
      <c r="J36" s="368"/>
      <c r="K36" s="130"/>
      <c r="L36" s="347"/>
      <c r="M36" s="348"/>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1" t="s">
        <v>12</v>
      </c>
      <c r="AN36" s="12">
        <v>900</v>
      </c>
      <c r="AO36" s="13"/>
      <c r="AP36" s="12" t="s">
        <v>49</v>
      </c>
      <c r="AQ36" s="14" t="s">
        <v>50</v>
      </c>
      <c r="AR36" s="165"/>
      <c r="AS36" s="165"/>
      <c r="AT36" s="165"/>
      <c r="AU36" s="165"/>
    </row>
    <row r="37" spans="1:47" ht="37.5" customHeight="1" thickBot="1">
      <c r="A37" s="165"/>
      <c r="B37" s="165"/>
      <c r="C37" s="165"/>
      <c r="D37" s="165"/>
      <c r="E37" s="165"/>
      <c r="F37" s="165"/>
      <c r="G37" s="165"/>
      <c r="H37" s="180"/>
      <c r="I37" s="344" t="str">
        <f>IF(D4="",0,"Kefalet Giriş")</f>
        <v>Kefalet Giriş</v>
      </c>
      <c r="J37" s="345"/>
      <c r="K37" s="346" t="str">
        <f>IF(ISERROR(VLOOKUP(D10,'Personel Listesi'!C6:BC368,47,FALSE)),0,(VLOOKUP(D10,'Personel Listesi'!C6:BC368,47,FALSE)))</f>
        <v>Hayır</v>
      </c>
      <c r="L37" s="346"/>
      <c r="M37" s="346"/>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1" t="s">
        <v>162</v>
      </c>
      <c r="AN37" s="12">
        <v>600</v>
      </c>
      <c r="AO37" s="13"/>
      <c r="AP37" s="12" t="s">
        <v>51</v>
      </c>
      <c r="AQ37" s="14" t="s">
        <v>52</v>
      </c>
      <c r="AR37" s="165"/>
      <c r="AS37" s="165"/>
      <c r="AT37" s="165"/>
      <c r="AU37" s="165"/>
    </row>
    <row r="38" spans="1:47" ht="36.75" customHeight="1" thickBot="1">
      <c r="A38" s="165"/>
      <c r="B38" s="165"/>
      <c r="C38" s="165"/>
      <c r="D38" s="165"/>
      <c r="E38" s="165"/>
      <c r="F38" s="165"/>
      <c r="G38" s="165"/>
      <c r="H38" s="180"/>
      <c r="I38" s="337" t="str">
        <f>IF(D4="",0,IF(K37="Evet",0,"Kefalet Normal Kesinti"))</f>
        <v>Kefalet Normal Kesinti</v>
      </c>
      <c r="J38" s="338"/>
      <c r="K38" s="346" t="str">
        <f>IF(ISERROR(VLOOKUP(D10,'Personel Listesi'!C6:BC188,48,FALSE)),0,VLOOKUP(D10,'Personel Listesi'!C6:BC188,48,FALSE))</f>
        <v>Hayır</v>
      </c>
      <c r="L38" s="346"/>
      <c r="M38" s="346"/>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1" t="s">
        <v>163</v>
      </c>
      <c r="AN38" s="12">
        <v>300</v>
      </c>
      <c r="AO38" s="13"/>
      <c r="AP38" s="12" t="s">
        <v>103</v>
      </c>
      <c r="AQ38" s="14" t="s">
        <v>104</v>
      </c>
      <c r="AR38" s="165"/>
      <c r="AS38" s="165"/>
      <c r="AT38" s="165"/>
      <c r="AU38" s="165"/>
    </row>
    <row r="39" spans="1:47" ht="26.25" customHeight="1" thickBot="1">
      <c r="A39" s="165"/>
      <c r="B39" s="165"/>
      <c r="C39" s="165"/>
      <c r="D39" s="165"/>
      <c r="E39" s="165"/>
      <c r="F39" s="165"/>
      <c r="G39" s="165"/>
      <c r="H39" s="180"/>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1" t="s">
        <v>105</v>
      </c>
      <c r="AN39" s="12">
        <v>2100</v>
      </c>
      <c r="AO39" s="13"/>
      <c r="AP39" s="12" t="s">
        <v>106</v>
      </c>
      <c r="AQ39" s="14" t="s">
        <v>107</v>
      </c>
      <c r="AR39" s="165"/>
      <c r="AS39" s="165"/>
      <c r="AT39" s="165"/>
      <c r="AU39" s="165"/>
    </row>
    <row r="40" spans="1:47" ht="25.5" customHeight="1" thickBot="1">
      <c r="A40" s="165"/>
      <c r="B40" s="165"/>
      <c r="C40" s="165"/>
      <c r="D40" s="165"/>
      <c r="E40" s="165"/>
      <c r="F40" s="165"/>
      <c r="G40" s="165"/>
      <c r="H40" s="180"/>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1" t="s">
        <v>108</v>
      </c>
      <c r="AN40" s="12">
        <v>1200</v>
      </c>
      <c r="AO40" s="15"/>
      <c r="AP40" s="339"/>
      <c r="AQ40" s="340"/>
      <c r="AR40" s="165"/>
      <c r="AS40" s="165"/>
      <c r="AT40" s="165"/>
      <c r="AU40" s="165"/>
    </row>
    <row r="41" spans="1:47" ht="22.5" customHeight="1" thickBot="1">
      <c r="A41" s="165"/>
      <c r="B41" s="175"/>
      <c r="C41" s="165"/>
      <c r="D41" s="165"/>
      <c r="E41" s="165"/>
      <c r="F41" s="165"/>
      <c r="G41" s="165"/>
      <c r="H41" s="17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1" t="s">
        <v>109</v>
      </c>
      <c r="AN41" s="12">
        <v>1200</v>
      </c>
      <c r="AO41" s="129"/>
      <c r="AP41" s="129"/>
      <c r="AQ41" s="129"/>
      <c r="AR41" s="165"/>
      <c r="AS41" s="165"/>
      <c r="AT41" s="165"/>
      <c r="AU41" s="165"/>
    </row>
    <row r="42" spans="1:47" ht="13.5" thickBo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4" t="s">
        <v>13</v>
      </c>
      <c r="AN42" s="5">
        <v>750</v>
      </c>
      <c r="AO42" s="6"/>
      <c r="AP42" s="5" t="s">
        <v>49</v>
      </c>
      <c r="AQ42" s="7" t="s">
        <v>50</v>
      </c>
      <c r="AR42" s="165"/>
      <c r="AS42" s="165"/>
      <c r="AT42" s="165"/>
      <c r="AU42" s="165"/>
    </row>
    <row r="43" spans="1:47" ht="13.5" thickBo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4" t="s">
        <v>14</v>
      </c>
      <c r="AN43" s="5">
        <v>500</v>
      </c>
      <c r="AO43" s="6"/>
      <c r="AP43" s="5" t="s">
        <v>51</v>
      </c>
      <c r="AQ43" s="7" t="s">
        <v>52</v>
      </c>
      <c r="AR43" s="165"/>
      <c r="AS43" s="165"/>
      <c r="AT43" s="165"/>
      <c r="AU43" s="165"/>
    </row>
    <row r="44" spans="1:47" ht="13.5" thickBo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4" t="s">
        <v>15</v>
      </c>
      <c r="AN44" s="5">
        <v>250</v>
      </c>
      <c r="AO44" s="6"/>
      <c r="AP44" s="5" t="s">
        <v>103</v>
      </c>
      <c r="AQ44" s="7" t="s">
        <v>104</v>
      </c>
      <c r="AR44" s="165"/>
      <c r="AS44" s="165"/>
      <c r="AT44" s="165"/>
      <c r="AU44" s="165"/>
    </row>
    <row r="45" spans="1:47" ht="13.5" thickBo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4"/>
      <c r="AN45" s="5"/>
      <c r="AO45" s="6"/>
      <c r="AP45" s="5" t="s">
        <v>106</v>
      </c>
      <c r="AQ45" s="7" t="s">
        <v>107</v>
      </c>
      <c r="AR45" s="165"/>
      <c r="AS45" s="165"/>
      <c r="AT45" s="165"/>
      <c r="AU45" s="165"/>
    </row>
    <row r="46" spans="1:47" ht="13.5" thickBo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4"/>
      <c r="AN46" s="5"/>
      <c r="AO46" s="8"/>
      <c r="AP46" s="356"/>
      <c r="AQ46" s="357"/>
      <c r="AR46" s="165"/>
      <c r="AS46" s="165"/>
      <c r="AT46" s="165"/>
      <c r="AU46" s="165"/>
    </row>
    <row r="47" spans="1:47" ht="13.5" thickBo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4"/>
      <c r="AN47" s="5"/>
      <c r="AO47" s="127"/>
      <c r="AP47" s="127"/>
      <c r="AQ47" s="127"/>
      <c r="AR47" s="165"/>
      <c r="AS47" s="165"/>
      <c r="AT47" s="165"/>
      <c r="AU47" s="165"/>
    </row>
    <row r="48" spans="1:47" ht="15.75" customHeight="1" thickBo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341" t="s">
        <v>160</v>
      </c>
      <c r="AN48" s="341"/>
      <c r="AO48" s="341"/>
      <c r="AP48" s="341"/>
      <c r="AQ48" s="341"/>
      <c r="AR48" s="165"/>
      <c r="AS48" s="165"/>
      <c r="AT48" s="165"/>
      <c r="AU48" s="165"/>
    </row>
    <row r="49" spans="1:47" ht="31.5" customHeight="1" thickBo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351" t="s">
        <v>47</v>
      </c>
      <c r="AN49" s="352"/>
      <c r="AO49" s="9"/>
      <c r="AP49" s="354" t="s">
        <v>48</v>
      </c>
      <c r="AQ49" s="355"/>
      <c r="AR49" s="165"/>
      <c r="AS49" s="165"/>
      <c r="AT49" s="165"/>
      <c r="AU49" s="165"/>
    </row>
    <row r="50" spans="1:47" ht="31.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row>
    <row r="51" spans="1:47"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row>
    <row r="52" spans="1:47"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row>
    <row r="53" spans="1:47"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row>
    <row r="54" spans="1:47"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row>
    <row r="55" spans="1:47"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row>
    <row r="56" spans="1:47"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row>
    <row r="57" spans="1:47" ht="31.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row>
    <row r="58" spans="1:47"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row>
    <row r="59" spans="1:47"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row>
    <row r="60" spans="1:47"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row>
    <row r="61" spans="1:47"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row>
    <row r="62" spans="1:47" ht="18"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row>
    <row r="63" spans="1:47" ht="32.2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row>
    <row r="64" spans="1:47" ht="14.2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row>
    <row r="65" spans="1:47" ht="1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row>
    <row r="66" spans="1:47" ht="44.2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row>
    <row r="67" spans="1:47" ht="12.75">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row>
    <row r="68" spans="1:47" ht="12.75">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row>
    <row r="69" spans="1:47" ht="12.75">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row>
    <row r="70" spans="1:47" ht="12.75">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row>
    <row r="71" spans="1:47" ht="12.75">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row>
    <row r="72" spans="1:47" ht="12.75">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row>
    <row r="73" spans="1:47" ht="12.75">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row>
    <row r="74" spans="1:47" ht="12.75">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row>
    <row r="75" spans="1:47" ht="12.75">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row>
    <row r="76" spans="1:47" ht="12.75">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row>
    <row r="77" spans="1:47" ht="12.75">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row>
    <row r="78" spans="1:47" ht="12.75">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row>
    <row r="79" spans="1:47" ht="12.75">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row>
    <row r="80" spans="1:47" ht="12.75">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row>
    <row r="81" spans="1:47" ht="12.75">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row>
    <row r="82" spans="3:7" ht="12.75">
      <c r="C82" s="165"/>
      <c r="D82" s="165"/>
      <c r="E82" s="165"/>
      <c r="F82" s="165"/>
      <c r="G82" s="165"/>
    </row>
    <row r="83" spans="3:7" ht="12.75">
      <c r="C83" s="165"/>
      <c r="D83" s="165"/>
      <c r="E83" s="165"/>
      <c r="F83" s="165"/>
      <c r="G83" s="165"/>
    </row>
    <row r="85" ht="12.75">
      <c r="M85" s="61" t="str">
        <f>+'Personel Listesi'!C6</f>
        <v>ÖRNEK KİŞİ</v>
      </c>
    </row>
    <row r="86" ht="12.75">
      <c r="M86" s="61" t="str">
        <f>+'Personel Listesi'!C7</f>
        <v> </v>
      </c>
    </row>
    <row r="87" spans="3:13" ht="12.75">
      <c r="C87" s="61" t="e">
        <f>+#REF!</f>
        <v>#REF!</v>
      </c>
      <c r="M87" s="61" t="str">
        <f>+'Personel Listesi'!C8</f>
        <v> </v>
      </c>
    </row>
    <row r="88" spans="3:13" ht="12.75">
      <c r="C88" s="61" t="e">
        <f>+#REF!</f>
        <v>#REF!</v>
      </c>
      <c r="M88" s="61" t="str">
        <f>+'Personel Listesi'!C9</f>
        <v> </v>
      </c>
    </row>
    <row r="89" spans="3:13" ht="12.75">
      <c r="C89" s="61" t="e">
        <f>+#REF!</f>
        <v>#REF!</v>
      </c>
      <c r="M89" s="61" t="str">
        <f>+'Personel Listesi'!C10</f>
        <v> </v>
      </c>
    </row>
    <row r="90" spans="3:13" ht="12.75">
      <c r="C90" s="61" t="e">
        <f>+#REF!</f>
        <v>#REF!</v>
      </c>
      <c r="M90" s="61" t="str">
        <f>+'Personel Listesi'!C11</f>
        <v> </v>
      </c>
    </row>
    <row r="91" spans="3:13" ht="12.75">
      <c r="C91" s="61" t="e">
        <f>+#REF!</f>
        <v>#REF!</v>
      </c>
      <c r="M91" s="61" t="str">
        <f>+'Personel Listesi'!C12</f>
        <v> </v>
      </c>
    </row>
    <row r="92" spans="3:13" ht="12.75">
      <c r="C92" s="61" t="e">
        <f>+#REF!</f>
        <v>#REF!</v>
      </c>
      <c r="M92" s="61" t="str">
        <f>+'Personel Listesi'!C13</f>
        <v> </v>
      </c>
    </row>
    <row r="93" spans="3:13" ht="12.75">
      <c r="C93" s="61" t="e">
        <f>+#REF!</f>
        <v>#REF!</v>
      </c>
      <c r="M93" s="61" t="str">
        <f>+'Personel Listesi'!C14</f>
        <v> </v>
      </c>
    </row>
    <row r="94" spans="3:13" ht="12.75">
      <c r="C94" s="61" t="e">
        <f>+#REF!</f>
        <v>#REF!</v>
      </c>
      <c r="M94" s="61" t="str">
        <f>+'Personel Listesi'!C15</f>
        <v> </v>
      </c>
    </row>
    <row r="95" spans="3:13" ht="12.75">
      <c r="C95" s="61" t="e">
        <f>+#REF!</f>
        <v>#REF!</v>
      </c>
      <c r="M95" s="61" t="str">
        <f>+'Personel Listesi'!C16</f>
        <v> </v>
      </c>
    </row>
    <row r="96" spans="3:13" ht="12.75">
      <c r="C96" s="61" t="e">
        <f>+#REF!</f>
        <v>#REF!</v>
      </c>
      <c r="M96" s="61" t="str">
        <f>+'Personel Listesi'!C17</f>
        <v> </v>
      </c>
    </row>
    <row r="97" spans="3:13" ht="12.75">
      <c r="C97" s="61" t="e">
        <f>+#REF!</f>
        <v>#REF!</v>
      </c>
      <c r="M97" s="61" t="str">
        <f>+'Personel Listesi'!C18</f>
        <v> </v>
      </c>
    </row>
    <row r="98" spans="3:13" ht="12.75">
      <c r="C98" s="61" t="e">
        <f>+#REF!</f>
        <v>#REF!</v>
      </c>
      <c r="M98" s="61" t="str">
        <f>+'Personel Listesi'!C19</f>
        <v> </v>
      </c>
    </row>
    <row r="99" spans="3:13" ht="12.75">
      <c r="C99" s="61" t="e">
        <f>+#REF!</f>
        <v>#REF!</v>
      </c>
      <c r="M99" s="61" t="str">
        <f>+'Personel Listesi'!C20</f>
        <v> </v>
      </c>
    </row>
    <row r="100" spans="3:13" ht="12.75">
      <c r="C100" s="61" t="e">
        <f>+#REF!</f>
        <v>#REF!</v>
      </c>
      <c r="M100" s="61" t="str">
        <f>+'Personel Listesi'!C21</f>
        <v> </v>
      </c>
    </row>
    <row r="101" spans="3:13" ht="12.75">
      <c r="C101" s="61" t="e">
        <f>+#REF!</f>
        <v>#REF!</v>
      </c>
      <c r="M101" s="61" t="str">
        <f>+'Personel Listesi'!C22</f>
        <v> </v>
      </c>
    </row>
    <row r="102" spans="3:13" ht="12.75">
      <c r="C102" s="61" t="e">
        <f>+#REF!</f>
        <v>#REF!</v>
      </c>
      <c r="M102" s="61" t="str">
        <f>+'Personel Listesi'!C23</f>
        <v> </v>
      </c>
    </row>
    <row r="103" spans="3:13" ht="12.75">
      <c r="C103" s="61" t="e">
        <f>+#REF!</f>
        <v>#REF!</v>
      </c>
      <c r="M103" s="61" t="str">
        <f>+'Personel Listesi'!C24</f>
        <v> </v>
      </c>
    </row>
    <row r="104" spans="3:13" ht="12.75">
      <c r="C104" s="61" t="e">
        <f>+#REF!</f>
        <v>#REF!</v>
      </c>
      <c r="M104" s="61" t="str">
        <f>+'Personel Listesi'!C25</f>
        <v> </v>
      </c>
    </row>
    <row r="105" spans="3:13" ht="12.75">
      <c r="C105" s="61" t="e">
        <f>+#REF!</f>
        <v>#REF!</v>
      </c>
      <c r="M105" s="61" t="str">
        <f>+'Personel Listesi'!C26</f>
        <v> </v>
      </c>
    </row>
    <row r="106" spans="3:13" ht="12.75">
      <c r="C106" s="61" t="e">
        <f>+#REF!</f>
        <v>#REF!</v>
      </c>
      <c r="M106" s="61" t="str">
        <f>+'Personel Listesi'!C27</f>
        <v> </v>
      </c>
    </row>
    <row r="107" spans="3:13" ht="12.75">
      <c r="C107" s="61" t="e">
        <f>+#REF!</f>
        <v>#REF!</v>
      </c>
      <c r="M107" s="61" t="str">
        <f>+'Personel Listesi'!C28</f>
        <v> </v>
      </c>
    </row>
    <row r="108" spans="3:13" ht="12.75">
      <c r="C108" s="61" t="e">
        <f>+#REF!</f>
        <v>#REF!</v>
      </c>
      <c r="M108" s="61" t="str">
        <f>+'Personel Listesi'!C29</f>
        <v> </v>
      </c>
    </row>
    <row r="109" spans="3:13" ht="12.75">
      <c r="C109" s="61" t="e">
        <f>+#REF!</f>
        <v>#REF!</v>
      </c>
      <c r="M109" s="61" t="str">
        <f>+'Personel Listesi'!C30</f>
        <v> </v>
      </c>
    </row>
    <row r="110" spans="3:13" ht="12.75">
      <c r="C110" s="61" t="e">
        <f>+#REF!</f>
        <v>#REF!</v>
      </c>
      <c r="M110" s="61" t="str">
        <f>+'Personel Listesi'!C31</f>
        <v> </v>
      </c>
    </row>
    <row r="111" spans="3:13" ht="12.75">
      <c r="C111" s="61" t="e">
        <f>+#REF!</f>
        <v>#REF!</v>
      </c>
      <c r="M111" s="61" t="str">
        <f>+'Personel Listesi'!C32</f>
        <v> </v>
      </c>
    </row>
    <row r="112" spans="3:13" ht="12.75">
      <c r="C112" s="61" t="e">
        <f>+#REF!</f>
        <v>#REF!</v>
      </c>
      <c r="M112" s="61" t="str">
        <f>+'Personel Listesi'!C33</f>
        <v> </v>
      </c>
    </row>
    <row r="113" spans="3:13" ht="12.75">
      <c r="C113" s="61" t="e">
        <f>+#REF!</f>
        <v>#REF!</v>
      </c>
      <c r="M113" s="61" t="str">
        <f>+'Personel Listesi'!C34</f>
        <v> </v>
      </c>
    </row>
    <row r="114" spans="3:13" ht="12.75">
      <c r="C114" s="61" t="e">
        <f>+#REF!</f>
        <v>#REF!</v>
      </c>
      <c r="M114" s="61" t="str">
        <f>+'Personel Listesi'!C35</f>
        <v> </v>
      </c>
    </row>
    <row r="115" spans="3:13" ht="12.75">
      <c r="C115" s="61" t="e">
        <f>+#REF!</f>
        <v>#REF!</v>
      </c>
      <c r="M115" s="61" t="str">
        <f>+'Personel Listesi'!C36</f>
        <v> </v>
      </c>
    </row>
    <row r="116" spans="3:13" ht="12.75">
      <c r="C116" s="61" t="e">
        <f>+#REF!</f>
        <v>#REF!</v>
      </c>
      <c r="M116" s="61" t="str">
        <f>+'Personel Listesi'!C37</f>
        <v> </v>
      </c>
    </row>
    <row r="117" spans="3:13" ht="12.75">
      <c r="C117" s="61" t="e">
        <f>+#REF!</f>
        <v>#REF!</v>
      </c>
      <c r="M117" s="61" t="str">
        <f>+'Personel Listesi'!C38</f>
        <v> </v>
      </c>
    </row>
    <row r="118" spans="3:13" ht="12.75">
      <c r="C118" s="61" t="e">
        <f>+#REF!</f>
        <v>#REF!</v>
      </c>
      <c r="M118" s="61" t="str">
        <f>+'Personel Listesi'!C39</f>
        <v> </v>
      </c>
    </row>
    <row r="119" spans="3:13" ht="12.75">
      <c r="C119" s="61" t="e">
        <f>+#REF!</f>
        <v>#REF!</v>
      </c>
      <c r="M119" s="61" t="str">
        <f>+'Personel Listesi'!C40</f>
        <v> </v>
      </c>
    </row>
    <row r="120" spans="3:13" ht="12.75">
      <c r="C120" s="61" t="e">
        <f>+#REF!</f>
        <v>#REF!</v>
      </c>
      <c r="M120" s="61" t="str">
        <f>+'Personel Listesi'!C41</f>
        <v> </v>
      </c>
    </row>
    <row r="121" spans="3:13" ht="12.75">
      <c r="C121" s="61" t="e">
        <f>+#REF!</f>
        <v>#REF!</v>
      </c>
      <c r="M121" s="61" t="str">
        <f>+'Personel Listesi'!C42</f>
        <v> </v>
      </c>
    </row>
    <row r="122" spans="3:13" ht="12.75">
      <c r="C122" s="61" t="e">
        <f>+#REF!</f>
        <v>#REF!</v>
      </c>
      <c r="M122" s="61" t="str">
        <f>+'Personel Listesi'!C43</f>
        <v> </v>
      </c>
    </row>
    <row r="123" spans="3:13" ht="12.75">
      <c r="C123" s="61" t="e">
        <f>+#REF!</f>
        <v>#REF!</v>
      </c>
      <c r="M123" s="61" t="str">
        <f>+'Personel Listesi'!C44</f>
        <v> </v>
      </c>
    </row>
    <row r="124" spans="3:13" ht="12.75">
      <c r="C124" s="61" t="e">
        <f>+#REF!</f>
        <v>#REF!</v>
      </c>
      <c r="M124" s="61" t="str">
        <f>+'Personel Listesi'!C45</f>
        <v> </v>
      </c>
    </row>
    <row r="125" spans="3:13" ht="12.75">
      <c r="C125" s="61" t="e">
        <f>+#REF!</f>
        <v>#REF!</v>
      </c>
      <c r="M125" s="61" t="str">
        <f>+'Personel Listesi'!C46</f>
        <v> </v>
      </c>
    </row>
    <row r="126" spans="3:13" ht="12.75">
      <c r="C126" s="61" t="e">
        <f>+#REF!</f>
        <v>#REF!</v>
      </c>
      <c r="M126" s="61" t="str">
        <f>+'Personel Listesi'!C47</f>
        <v> </v>
      </c>
    </row>
    <row r="127" spans="3:13" ht="12.75">
      <c r="C127" s="61" t="e">
        <f>+#REF!</f>
        <v>#REF!</v>
      </c>
      <c r="M127" s="61" t="str">
        <f>+'Personel Listesi'!C48</f>
        <v> </v>
      </c>
    </row>
    <row r="128" spans="3:13" ht="12.75">
      <c r="C128" s="61" t="e">
        <f>+#REF!</f>
        <v>#REF!</v>
      </c>
      <c r="M128" s="61" t="str">
        <f>+'Personel Listesi'!C49</f>
        <v> </v>
      </c>
    </row>
    <row r="129" spans="3:13" ht="12.75">
      <c r="C129" s="61" t="e">
        <f>+#REF!</f>
        <v>#REF!</v>
      </c>
      <c r="M129" s="61" t="str">
        <f>+'Personel Listesi'!C50</f>
        <v> </v>
      </c>
    </row>
    <row r="130" spans="3:13" ht="12.75">
      <c r="C130" s="61" t="e">
        <f>+#REF!</f>
        <v>#REF!</v>
      </c>
      <c r="M130" s="61">
        <f>+'Personel Listesi'!C51</f>
        <v>0</v>
      </c>
    </row>
    <row r="131" spans="3:13" ht="12.75">
      <c r="C131" s="61" t="e">
        <f>+#REF!</f>
        <v>#REF!</v>
      </c>
      <c r="M131" s="61">
        <f>+'Personel Listesi'!C52</f>
        <v>0</v>
      </c>
    </row>
    <row r="132" spans="3:13" ht="12.75">
      <c r="C132" s="61" t="e">
        <f>+#REF!</f>
        <v>#REF!</v>
      </c>
      <c r="M132" s="61">
        <f>+'Personel Listesi'!C53</f>
        <v>0</v>
      </c>
    </row>
    <row r="133" spans="3:13" ht="12.75">
      <c r="C133" s="61" t="e">
        <f>+#REF!</f>
        <v>#REF!</v>
      </c>
      <c r="M133" s="61">
        <f>+'Personel Listesi'!C54</f>
        <v>0</v>
      </c>
    </row>
    <row r="134" spans="3:13" ht="12.75">
      <c r="C134" s="61" t="e">
        <f>+#REF!</f>
        <v>#REF!</v>
      </c>
      <c r="M134" s="61">
        <f>+'Personel Listesi'!C54</f>
        <v>0</v>
      </c>
    </row>
    <row r="135" spans="3:13" ht="12.75">
      <c r="C135" s="61" t="e">
        <f>+#REF!</f>
        <v>#REF!</v>
      </c>
      <c r="M135" s="61">
        <f>+'Personel Listesi'!C55</f>
        <v>0</v>
      </c>
    </row>
    <row r="136" spans="3:13" ht="12.75">
      <c r="C136" s="61" t="e">
        <f>+#REF!</f>
        <v>#REF!</v>
      </c>
      <c r="M136" s="61">
        <f>+'Personel Listesi'!C56</f>
        <v>0</v>
      </c>
    </row>
    <row r="137" spans="3:13" ht="12.75">
      <c r="C137" s="61" t="e">
        <f>+#REF!</f>
        <v>#REF!</v>
      </c>
      <c r="M137" s="61">
        <f>+'Personel Listesi'!C57</f>
        <v>0</v>
      </c>
    </row>
    <row r="138" spans="3:13" ht="12.75">
      <c r="C138" s="61" t="e">
        <f>+#REF!</f>
        <v>#REF!</v>
      </c>
      <c r="M138" s="61">
        <f>+'Personel Listesi'!C58</f>
        <v>0</v>
      </c>
    </row>
    <row r="139" spans="3:13" ht="12.75">
      <c r="C139" s="61" t="e">
        <f>+#REF!</f>
        <v>#REF!</v>
      </c>
      <c r="M139" s="61">
        <f>+'Personel Listesi'!C59</f>
        <v>0</v>
      </c>
    </row>
    <row r="140" spans="3:13" ht="12.75">
      <c r="C140" s="61" t="e">
        <f>+#REF!</f>
        <v>#REF!</v>
      </c>
      <c r="M140" s="61">
        <f>+'Personel Listesi'!C60</f>
        <v>0</v>
      </c>
    </row>
    <row r="141" spans="3:13" ht="12.75">
      <c r="C141" s="61" t="e">
        <f>+#REF!</f>
        <v>#REF!</v>
      </c>
      <c r="M141" s="61">
        <f>+'Personel Listesi'!C61</f>
        <v>0</v>
      </c>
    </row>
    <row r="142" spans="3:13" ht="12.75">
      <c r="C142" s="61" t="e">
        <f>+#REF!</f>
        <v>#REF!</v>
      </c>
      <c r="M142" s="61">
        <f>+'Personel Listesi'!C62</f>
        <v>0</v>
      </c>
    </row>
    <row r="143" spans="3:13" ht="12.75">
      <c r="C143" s="61" t="e">
        <f>+#REF!</f>
        <v>#REF!</v>
      </c>
      <c r="M143" s="61">
        <f>+'Personel Listesi'!C63</f>
        <v>0</v>
      </c>
    </row>
    <row r="144" ht="12.75">
      <c r="M144" s="61">
        <f>+'Personel Listesi'!C64</f>
        <v>0</v>
      </c>
    </row>
    <row r="145" ht="12.75">
      <c r="M145" s="61">
        <f>+'Personel Listesi'!C65</f>
        <v>0</v>
      </c>
    </row>
    <row r="146" ht="12.75">
      <c r="M146" s="61">
        <f>+'Personel Listesi'!C66</f>
        <v>0</v>
      </c>
    </row>
    <row r="147" ht="12.75">
      <c r="M147" s="61">
        <f>+'Personel Listesi'!C67</f>
        <v>0</v>
      </c>
    </row>
    <row r="148" ht="12.75">
      <c r="M148" s="61">
        <f>+'Personel Listesi'!C68</f>
        <v>0</v>
      </c>
    </row>
    <row r="149" ht="12.75">
      <c r="M149" s="61">
        <f>+'Personel Listesi'!C69</f>
        <v>0</v>
      </c>
    </row>
    <row r="150" ht="12.75">
      <c r="M150" s="61">
        <f>+'Personel Listesi'!C70</f>
        <v>0</v>
      </c>
    </row>
    <row r="151" ht="12.75">
      <c r="M151" s="61">
        <f>+'Personel Listesi'!C71</f>
        <v>0</v>
      </c>
    </row>
    <row r="152" ht="12.75">
      <c r="M152" s="61">
        <f>+'Personel Listesi'!C72</f>
        <v>0</v>
      </c>
    </row>
    <row r="153" ht="12.75">
      <c r="M153" s="61">
        <f>+'Personel Listesi'!C73</f>
        <v>0</v>
      </c>
    </row>
    <row r="154" ht="12.75">
      <c r="M154" s="61">
        <f>+'Personel Listesi'!C74</f>
        <v>0</v>
      </c>
    </row>
    <row r="155" ht="12.75">
      <c r="M155" s="61">
        <f>+'Personel Listesi'!C75</f>
        <v>0</v>
      </c>
    </row>
    <row r="156" ht="12.75">
      <c r="M156" s="61">
        <f>+'Personel Listesi'!C76</f>
        <v>0</v>
      </c>
    </row>
    <row r="157" ht="12.75">
      <c r="M157" s="61">
        <f>+'Personel Listesi'!C77</f>
        <v>0</v>
      </c>
    </row>
    <row r="158" ht="12.75">
      <c r="M158" s="61">
        <f>+'Personel Listesi'!C78</f>
        <v>0</v>
      </c>
    </row>
    <row r="159" ht="12.75">
      <c r="M159" s="61">
        <f>+'Personel Listesi'!C79</f>
        <v>0</v>
      </c>
    </row>
    <row r="160" ht="12.75">
      <c r="M160" s="61">
        <f>+'Personel Listesi'!C80</f>
        <v>0</v>
      </c>
    </row>
    <row r="161" ht="12.75">
      <c r="M161" s="61">
        <f>+'Personel Listesi'!C81</f>
        <v>0</v>
      </c>
    </row>
    <row r="162" ht="12.75">
      <c r="M162" s="61">
        <f>+'Personel Listesi'!C82</f>
        <v>0</v>
      </c>
    </row>
    <row r="163" ht="12.75">
      <c r="M163" s="61">
        <f>+'Personel Listesi'!C83</f>
        <v>0</v>
      </c>
    </row>
    <row r="164" ht="12.75">
      <c r="M164" s="61">
        <f>+'Personel Listesi'!C84</f>
        <v>0</v>
      </c>
    </row>
    <row r="165" ht="12.75">
      <c r="M165" s="61">
        <f>+'Personel Listesi'!C85</f>
        <v>0</v>
      </c>
    </row>
    <row r="166" ht="12.75">
      <c r="M166" s="61">
        <f>+'Personel Listesi'!C86</f>
        <v>0</v>
      </c>
    </row>
    <row r="167" ht="12.75">
      <c r="M167" s="61">
        <f>+'Personel Listesi'!C87</f>
        <v>0</v>
      </c>
    </row>
    <row r="168" ht="12.75">
      <c r="M168" s="61">
        <f>+'Personel Listesi'!C88</f>
        <v>0</v>
      </c>
    </row>
    <row r="169" ht="12.75">
      <c r="M169" s="61">
        <f>+'Personel Listesi'!C89</f>
        <v>0</v>
      </c>
    </row>
    <row r="170" ht="12.75">
      <c r="M170" s="61">
        <f>+'Personel Listesi'!C90</f>
        <v>0</v>
      </c>
    </row>
    <row r="171" ht="12.75">
      <c r="M171" s="61">
        <f>+'Personel Listesi'!C91</f>
        <v>0</v>
      </c>
    </row>
    <row r="172" ht="12.75">
      <c r="M172" s="61">
        <f>+'Personel Listesi'!C92</f>
        <v>0</v>
      </c>
    </row>
    <row r="173" ht="12.75">
      <c r="M173" s="61">
        <f>+'Personel Listesi'!C93</f>
        <v>0</v>
      </c>
    </row>
    <row r="174" ht="12.75">
      <c r="M174" s="61">
        <f>+'Personel Listesi'!C94</f>
        <v>0</v>
      </c>
    </row>
    <row r="175" ht="12.75">
      <c r="M175" s="61">
        <f>+'Personel Listesi'!C95</f>
        <v>0</v>
      </c>
    </row>
    <row r="176" ht="12.75">
      <c r="M176" s="61">
        <f>+'Personel Listesi'!C96</f>
        <v>0</v>
      </c>
    </row>
    <row r="177" ht="12.75">
      <c r="M177" s="61">
        <f>+'Personel Listesi'!C97</f>
        <v>0</v>
      </c>
    </row>
    <row r="178" ht="12.75">
      <c r="M178" s="61">
        <f>+'Personel Listesi'!C98</f>
        <v>0</v>
      </c>
    </row>
    <row r="179" ht="12.75">
      <c r="M179" s="61">
        <f>+'Personel Listesi'!C99</f>
        <v>0</v>
      </c>
    </row>
    <row r="180" ht="12.75">
      <c r="M180" s="61">
        <f>+'Personel Listesi'!C100</f>
        <v>0</v>
      </c>
    </row>
    <row r="181" ht="12.75">
      <c r="M181" s="61">
        <f>+'Personel Listesi'!C101</f>
        <v>0</v>
      </c>
    </row>
    <row r="182" ht="12.75">
      <c r="M182" s="61">
        <f>+'Personel Listesi'!C102</f>
        <v>0</v>
      </c>
    </row>
    <row r="183" ht="12.75">
      <c r="M183" s="61">
        <f>+'Personel Listesi'!C103</f>
        <v>0</v>
      </c>
    </row>
    <row r="184" ht="12.75">
      <c r="M184" s="61">
        <f>+'Personel Listesi'!C104</f>
        <v>0</v>
      </c>
    </row>
    <row r="185" ht="12.75">
      <c r="M185" s="61">
        <f>+'Personel Listesi'!C105</f>
        <v>0</v>
      </c>
    </row>
    <row r="186" ht="12.75">
      <c r="M186" s="61">
        <f>+'Personel Listesi'!C106</f>
        <v>0</v>
      </c>
    </row>
    <row r="187" ht="12.75">
      <c r="M187" s="61">
        <f>+'Personel Listesi'!C107</f>
        <v>0</v>
      </c>
    </row>
    <row r="188" ht="12.75">
      <c r="M188" s="61">
        <f>+'Personel Listesi'!C108</f>
        <v>0</v>
      </c>
    </row>
    <row r="189" ht="12.75">
      <c r="M189" s="61">
        <f>+'Personel Listesi'!C109</f>
        <v>0</v>
      </c>
    </row>
    <row r="190" ht="12.75">
      <c r="M190" s="61">
        <f>+'Personel Listesi'!C110</f>
        <v>0</v>
      </c>
    </row>
    <row r="191" ht="12.75">
      <c r="M191" s="61">
        <f>+'Personel Listesi'!C111</f>
        <v>0</v>
      </c>
    </row>
    <row r="192" ht="12.75">
      <c r="M192" s="61">
        <f>+'Personel Listesi'!C112</f>
        <v>0</v>
      </c>
    </row>
    <row r="193" ht="12.75">
      <c r="M193" s="61">
        <f>+'Personel Listesi'!C113</f>
        <v>0</v>
      </c>
    </row>
    <row r="194" ht="12.75">
      <c r="M194" s="61">
        <f>+'Personel Listesi'!C114</f>
        <v>0</v>
      </c>
    </row>
    <row r="195" ht="12.75">
      <c r="M195" s="61">
        <f>+'Personel Listesi'!C115</f>
        <v>0</v>
      </c>
    </row>
    <row r="196" ht="12.75">
      <c r="M196" s="61">
        <f>+'Personel Listesi'!C116</f>
        <v>0</v>
      </c>
    </row>
    <row r="197" ht="12.75">
      <c r="M197" s="61">
        <f>+'Personel Listesi'!C117</f>
        <v>0</v>
      </c>
    </row>
    <row r="198" ht="12.75">
      <c r="M198" s="61">
        <f>+'Personel Listesi'!C118</f>
        <v>0</v>
      </c>
    </row>
    <row r="199" ht="12.75">
      <c r="M199" s="61">
        <f>+'Personel Listesi'!C119</f>
        <v>0</v>
      </c>
    </row>
    <row r="200" ht="12.75">
      <c r="M200" s="61">
        <f>+'Personel Listesi'!C120</f>
        <v>0</v>
      </c>
    </row>
    <row r="201" ht="12.75">
      <c r="M201" s="61">
        <f>+'Personel Listesi'!C121</f>
        <v>0</v>
      </c>
    </row>
    <row r="202" ht="12.75">
      <c r="M202" s="61">
        <f>+'Personel Listesi'!C122</f>
        <v>0</v>
      </c>
    </row>
    <row r="203" ht="12.75">
      <c r="M203" s="61">
        <f>+'Personel Listesi'!C123</f>
        <v>0</v>
      </c>
    </row>
    <row r="204" ht="12.75">
      <c r="M204" s="61">
        <f>+'Personel Listesi'!C124</f>
        <v>0</v>
      </c>
    </row>
    <row r="205" ht="12.75">
      <c r="M205" s="61">
        <f>+'Personel Listesi'!C125</f>
        <v>0</v>
      </c>
    </row>
    <row r="206" ht="12.75">
      <c r="M206" s="61">
        <f>+'Personel Listesi'!C126</f>
        <v>0</v>
      </c>
    </row>
    <row r="207" ht="12.75">
      <c r="M207" s="61">
        <f>+'Personel Listesi'!C127</f>
        <v>0</v>
      </c>
    </row>
    <row r="208" ht="12.75">
      <c r="M208" s="61">
        <f>+'Personel Listesi'!C128</f>
        <v>0</v>
      </c>
    </row>
    <row r="209" ht="12.75">
      <c r="M209" s="61">
        <f>+'Personel Listesi'!C129</f>
        <v>0</v>
      </c>
    </row>
    <row r="210" ht="12.75">
      <c r="M210" s="61">
        <f>+'Personel Listesi'!C130</f>
        <v>0</v>
      </c>
    </row>
    <row r="211" ht="12.75">
      <c r="M211" s="61">
        <f>+'Personel Listesi'!C131</f>
        <v>0</v>
      </c>
    </row>
    <row r="212" ht="12.75">
      <c r="M212" s="61">
        <f>+'Personel Listesi'!C132</f>
        <v>0</v>
      </c>
    </row>
    <row r="213" ht="12.75">
      <c r="M213" s="61">
        <f>+'Personel Listesi'!C133</f>
        <v>0</v>
      </c>
    </row>
    <row r="214" ht="12.75">
      <c r="M214" s="61">
        <f>+'Personel Listesi'!C134</f>
        <v>0</v>
      </c>
    </row>
    <row r="215" ht="12.75">
      <c r="M215" s="61">
        <f>+'Personel Listesi'!C135</f>
        <v>0</v>
      </c>
    </row>
    <row r="216" ht="12.75">
      <c r="M216" s="61">
        <f>+'Personel Listesi'!C136</f>
        <v>0</v>
      </c>
    </row>
    <row r="217" ht="12.75">
      <c r="M217" s="61">
        <f>+'Personel Listesi'!C137</f>
        <v>0</v>
      </c>
    </row>
    <row r="218" ht="12.75">
      <c r="M218" s="61">
        <f>+'Personel Listesi'!C138</f>
        <v>0</v>
      </c>
    </row>
    <row r="219" ht="12.75">
      <c r="M219" s="61">
        <f>+'Personel Listesi'!C139</f>
        <v>0</v>
      </c>
    </row>
    <row r="220" ht="12.75">
      <c r="M220" s="61">
        <f>+'Personel Listesi'!C140</f>
        <v>0</v>
      </c>
    </row>
    <row r="221" ht="12.75">
      <c r="M221" s="61">
        <f>+'Personel Listesi'!C141</f>
        <v>0</v>
      </c>
    </row>
    <row r="222" ht="12.75">
      <c r="M222" s="61">
        <f>+'Personel Listesi'!C142</f>
        <v>0</v>
      </c>
    </row>
    <row r="223" ht="12.75">
      <c r="M223" s="61">
        <f>+'Personel Listesi'!C143</f>
        <v>0</v>
      </c>
    </row>
    <row r="224" ht="12.75">
      <c r="M224" s="61">
        <f>+'Personel Listesi'!C144</f>
        <v>0</v>
      </c>
    </row>
    <row r="225" ht="12.75">
      <c r="M225" s="61">
        <f>+'Personel Listesi'!C145</f>
        <v>0</v>
      </c>
    </row>
    <row r="226" ht="12.75">
      <c r="M226" s="61">
        <f>+'Personel Listesi'!C146</f>
        <v>0</v>
      </c>
    </row>
    <row r="227" ht="12.75">
      <c r="M227" s="61">
        <f>+'Personel Listesi'!C147</f>
        <v>0</v>
      </c>
    </row>
    <row r="228" ht="12.75">
      <c r="M228" s="61">
        <f>+'Personel Listesi'!C148</f>
        <v>0</v>
      </c>
    </row>
    <row r="229" ht="12.75">
      <c r="M229" s="61">
        <f>+'Personel Listesi'!C149</f>
        <v>0</v>
      </c>
    </row>
    <row r="230" ht="12.75">
      <c r="M230" s="61">
        <f>+'Personel Listesi'!C150</f>
        <v>0</v>
      </c>
    </row>
    <row r="231" ht="12.75">
      <c r="M231" s="61">
        <f>+'Personel Listesi'!C151</f>
        <v>0</v>
      </c>
    </row>
    <row r="232" ht="12.75">
      <c r="M232" s="61">
        <f>+'Personel Listesi'!C152</f>
        <v>0</v>
      </c>
    </row>
    <row r="233" ht="12.75">
      <c r="M233" s="61">
        <f>+'Personel Listesi'!C153</f>
        <v>0</v>
      </c>
    </row>
    <row r="234" ht="12.75">
      <c r="M234" s="61">
        <f>+'Personel Listesi'!C154</f>
        <v>0</v>
      </c>
    </row>
    <row r="235" ht="12.75">
      <c r="M235" s="61">
        <f>+'Personel Listesi'!C155</f>
        <v>0</v>
      </c>
    </row>
    <row r="236" ht="12.75">
      <c r="M236" s="61">
        <f>+'Personel Listesi'!C156</f>
        <v>0</v>
      </c>
    </row>
    <row r="237" ht="12.75">
      <c r="M237" s="61">
        <f>+'Personel Listesi'!C157</f>
        <v>0</v>
      </c>
    </row>
    <row r="238" ht="12.75">
      <c r="M238" s="61">
        <f>+'Personel Listesi'!C158</f>
        <v>0</v>
      </c>
    </row>
    <row r="239" ht="12.75">
      <c r="M239" s="61">
        <f>+'Personel Listesi'!C159</f>
        <v>0</v>
      </c>
    </row>
    <row r="240" ht="12.75">
      <c r="M240" s="61">
        <f>+'Personel Listesi'!C160</f>
        <v>0</v>
      </c>
    </row>
    <row r="241" ht="12.75">
      <c r="M241" s="61">
        <f>+'Personel Listesi'!C161</f>
        <v>0</v>
      </c>
    </row>
    <row r="242" ht="12.75">
      <c r="M242" s="61">
        <f>+'Personel Listesi'!C162</f>
        <v>0</v>
      </c>
    </row>
    <row r="243" ht="12.75">
      <c r="M243" s="61">
        <f>+'Personel Listesi'!C163</f>
        <v>0</v>
      </c>
    </row>
    <row r="244" ht="12.75">
      <c r="M244" s="61">
        <f>+'Personel Listesi'!C164</f>
        <v>0</v>
      </c>
    </row>
    <row r="245" ht="12.75">
      <c r="M245" s="61">
        <f>+'Personel Listesi'!C165</f>
        <v>0</v>
      </c>
    </row>
    <row r="246" ht="12.75">
      <c r="M246" s="61">
        <f>+'Personel Listesi'!C166</f>
        <v>0</v>
      </c>
    </row>
    <row r="247" ht="12.75">
      <c r="M247" s="61">
        <f>+'Personel Listesi'!C167</f>
        <v>0</v>
      </c>
    </row>
    <row r="248" ht="12.75">
      <c r="M248" s="61">
        <f>+'Personel Listesi'!C168</f>
        <v>0</v>
      </c>
    </row>
    <row r="249" ht="12.75">
      <c r="M249" s="61">
        <f>+'Personel Listesi'!C169</f>
        <v>0</v>
      </c>
    </row>
    <row r="250" ht="12.75">
      <c r="M250" s="61">
        <f>+'Personel Listesi'!C170</f>
        <v>0</v>
      </c>
    </row>
    <row r="251" ht="12.75">
      <c r="M251" s="61">
        <f>+'Personel Listesi'!C171</f>
        <v>0</v>
      </c>
    </row>
    <row r="252" ht="12.75">
      <c r="M252" s="61">
        <f>+'Personel Listesi'!C172</f>
        <v>0</v>
      </c>
    </row>
    <row r="253" ht="12.75">
      <c r="M253" s="61">
        <f>+'Personel Listesi'!C173</f>
        <v>0</v>
      </c>
    </row>
    <row r="254" ht="12.75">
      <c r="M254" s="61">
        <f>+'Personel Listesi'!C174</f>
        <v>0</v>
      </c>
    </row>
    <row r="255" ht="12.75">
      <c r="M255" s="61">
        <f>+'Personel Listesi'!C175</f>
        <v>0</v>
      </c>
    </row>
    <row r="256" ht="12.75">
      <c r="M256" s="61">
        <f>+'Personel Listesi'!C176</f>
        <v>0</v>
      </c>
    </row>
    <row r="257" ht="12.75">
      <c r="M257" s="61">
        <f>+'Personel Listesi'!C177</f>
        <v>0</v>
      </c>
    </row>
    <row r="258" ht="12.75">
      <c r="M258" s="61">
        <f>+'Personel Listesi'!C178</f>
        <v>0</v>
      </c>
    </row>
    <row r="259" ht="12.75">
      <c r="M259" s="61">
        <f>+'Personel Listesi'!C179</f>
        <v>0</v>
      </c>
    </row>
    <row r="260" ht="12.75">
      <c r="M260" s="61">
        <f>+'Personel Listesi'!C180</f>
        <v>0</v>
      </c>
    </row>
    <row r="261" ht="12.75">
      <c r="M261" s="61">
        <f>+'Personel Listesi'!C181</f>
        <v>0</v>
      </c>
    </row>
    <row r="262" ht="12.75">
      <c r="M262" s="61">
        <f>+'Personel Listesi'!C182</f>
        <v>0</v>
      </c>
    </row>
    <row r="263" ht="12.75">
      <c r="M263" s="61">
        <f>+'Personel Listesi'!C183</f>
        <v>0</v>
      </c>
    </row>
    <row r="264" ht="12.75">
      <c r="M264" s="61">
        <f>+'Personel Listesi'!C184</f>
        <v>0</v>
      </c>
    </row>
    <row r="265" ht="12.75">
      <c r="M265" s="61">
        <f>+'Personel Listesi'!C185</f>
        <v>0</v>
      </c>
    </row>
    <row r="266" ht="12.75">
      <c r="M266" s="61">
        <f>+'Personel Listesi'!C186</f>
        <v>0</v>
      </c>
    </row>
    <row r="267" ht="12.75">
      <c r="M267" s="61">
        <f>+'Personel Listesi'!C187</f>
        <v>0</v>
      </c>
    </row>
    <row r="268" ht="12.75">
      <c r="M268" s="61">
        <f>+'Personel Listesi'!C188</f>
        <v>0</v>
      </c>
    </row>
    <row r="269" ht="12.75">
      <c r="M269" s="61">
        <f>+'Personel Listesi'!C189</f>
        <v>0</v>
      </c>
    </row>
    <row r="270" ht="12.75">
      <c r="M270" s="61">
        <f>+'Personel Listesi'!C190</f>
        <v>0</v>
      </c>
    </row>
    <row r="271" ht="12.75">
      <c r="M271" s="61">
        <f>+'Personel Listesi'!C191</f>
        <v>0</v>
      </c>
    </row>
    <row r="272" ht="12.75">
      <c r="M272" s="61">
        <f>+'Personel Listesi'!C192</f>
        <v>0</v>
      </c>
    </row>
    <row r="273" ht="12.75">
      <c r="M273" s="61">
        <f>+'Personel Listesi'!C193</f>
        <v>0</v>
      </c>
    </row>
    <row r="274" ht="12.75">
      <c r="M274" s="61">
        <f>+'Personel Listesi'!C194</f>
        <v>0</v>
      </c>
    </row>
    <row r="275" ht="12.75">
      <c r="M275" s="61">
        <f>+'Personel Listesi'!C195</f>
        <v>0</v>
      </c>
    </row>
    <row r="276" ht="12.75">
      <c r="M276" s="61">
        <f>+'Personel Listesi'!C196</f>
        <v>0</v>
      </c>
    </row>
    <row r="277" ht="12.75">
      <c r="M277" s="61">
        <f>+'Personel Listesi'!C197</f>
        <v>0</v>
      </c>
    </row>
    <row r="278" ht="12.75">
      <c r="M278" s="61">
        <f>+'Personel Listesi'!C198</f>
        <v>0</v>
      </c>
    </row>
    <row r="279" ht="12.75">
      <c r="M279" s="61">
        <f>+'Personel Listesi'!C199</f>
        <v>0</v>
      </c>
    </row>
    <row r="280" ht="12.75">
      <c r="M280" s="61">
        <f>+'Personel Listesi'!C200</f>
        <v>0</v>
      </c>
    </row>
    <row r="281" ht="12.75">
      <c r="M281" s="61">
        <f>+'Personel Listesi'!C201</f>
        <v>0</v>
      </c>
    </row>
    <row r="282" ht="12.75">
      <c r="M282" s="61">
        <f>+'Personel Listesi'!C202</f>
        <v>0</v>
      </c>
    </row>
    <row r="283" ht="12.75">
      <c r="M283" s="61">
        <f>+'Personel Listesi'!C203</f>
        <v>0</v>
      </c>
    </row>
    <row r="284" ht="12.75">
      <c r="M284" s="61">
        <f>+'Personel Listesi'!C204</f>
        <v>0</v>
      </c>
    </row>
    <row r="285" ht="12.75">
      <c r="M285" s="61">
        <f>+'Personel Listesi'!C205</f>
        <v>0</v>
      </c>
    </row>
    <row r="286" ht="12.75">
      <c r="M286" s="61">
        <f>+'Personel Listesi'!C206</f>
        <v>0</v>
      </c>
    </row>
    <row r="287" ht="12.75">
      <c r="M287" s="61">
        <f>+'Personel Listesi'!C207</f>
        <v>0</v>
      </c>
    </row>
    <row r="288" ht="12.75">
      <c r="M288" s="61">
        <f>+'Personel Listesi'!C208</f>
        <v>0</v>
      </c>
    </row>
    <row r="289" ht="12.75">
      <c r="M289" s="61">
        <f>+'Personel Listesi'!C209</f>
        <v>0</v>
      </c>
    </row>
    <row r="290" ht="12.75">
      <c r="M290" s="61">
        <f>+'Personel Listesi'!C210</f>
        <v>0</v>
      </c>
    </row>
    <row r="291" ht="12.75">
      <c r="M291" s="61">
        <f>+'Personel Listesi'!C211</f>
        <v>0</v>
      </c>
    </row>
    <row r="292" ht="12.75">
      <c r="M292" s="61">
        <f>+'Personel Listesi'!C212</f>
        <v>0</v>
      </c>
    </row>
    <row r="293" ht="12.75">
      <c r="M293" s="61">
        <f>+'Personel Listesi'!C213</f>
        <v>0</v>
      </c>
    </row>
    <row r="294" ht="12.75">
      <c r="M294" s="61">
        <f>+'Personel Listesi'!C214</f>
        <v>0</v>
      </c>
    </row>
    <row r="295" ht="12.75">
      <c r="M295" s="61">
        <f>+'Personel Listesi'!C215</f>
        <v>0</v>
      </c>
    </row>
    <row r="296" ht="12.75">
      <c r="M296" s="61">
        <f>+'Personel Listesi'!C216</f>
        <v>0</v>
      </c>
    </row>
    <row r="297" ht="12.75">
      <c r="M297" s="61">
        <f>+'Personel Listesi'!C217</f>
        <v>0</v>
      </c>
    </row>
    <row r="298" ht="12.75">
      <c r="M298" s="61">
        <f>+'Personel Listesi'!C218</f>
        <v>0</v>
      </c>
    </row>
    <row r="299" ht="12.75">
      <c r="M299" s="61">
        <f>+'Personel Listesi'!C219</f>
        <v>0</v>
      </c>
    </row>
    <row r="300" ht="12.75">
      <c r="M300" s="61">
        <f>+'Personel Listesi'!C220</f>
        <v>0</v>
      </c>
    </row>
    <row r="301" ht="12.75">
      <c r="M301" s="61">
        <f>+'Personel Listesi'!C221</f>
        <v>0</v>
      </c>
    </row>
    <row r="302" ht="12.75">
      <c r="M302" s="61">
        <f>+'Personel Listesi'!C222</f>
        <v>0</v>
      </c>
    </row>
    <row r="303" ht="12.75">
      <c r="M303" s="61">
        <f>+'Personel Listesi'!C223</f>
        <v>0</v>
      </c>
    </row>
    <row r="304" ht="12.75">
      <c r="M304" s="61">
        <f>+'Personel Listesi'!C224</f>
        <v>0</v>
      </c>
    </row>
    <row r="305" ht="12.75">
      <c r="M305" s="61">
        <f>+'Personel Listesi'!C225</f>
        <v>0</v>
      </c>
    </row>
    <row r="306" ht="12.75">
      <c r="M306" s="61">
        <f>+'Personel Listesi'!C226</f>
        <v>0</v>
      </c>
    </row>
    <row r="307" ht="12.75">
      <c r="M307" s="61">
        <f>+'Personel Listesi'!C227</f>
        <v>0</v>
      </c>
    </row>
    <row r="308" ht="12.75">
      <c r="M308" s="61">
        <f>+'Personel Listesi'!C228</f>
        <v>0</v>
      </c>
    </row>
    <row r="309" ht="12.75">
      <c r="M309" s="61">
        <f>+'Personel Listesi'!C229</f>
        <v>0</v>
      </c>
    </row>
    <row r="310" ht="12.75">
      <c r="M310" s="61">
        <f>+'Personel Listesi'!C230</f>
        <v>0</v>
      </c>
    </row>
    <row r="311" ht="12.75">
      <c r="M311" s="61">
        <f>+'Personel Listesi'!C231</f>
        <v>0</v>
      </c>
    </row>
    <row r="312" ht="12.75">
      <c r="M312" s="61">
        <f>+'Personel Listesi'!C232</f>
        <v>0</v>
      </c>
    </row>
    <row r="313" ht="12.75">
      <c r="M313" s="61">
        <f>+'Personel Listesi'!C233</f>
        <v>0</v>
      </c>
    </row>
    <row r="314" ht="12.75">
      <c r="M314" s="61">
        <f>+'Personel Listesi'!C234</f>
        <v>0</v>
      </c>
    </row>
    <row r="315" ht="12.75">
      <c r="M315" s="61">
        <f>+'Personel Listesi'!C235</f>
        <v>0</v>
      </c>
    </row>
    <row r="316" ht="12.75">
      <c r="M316" s="61">
        <f>+'Personel Listesi'!C236</f>
        <v>0</v>
      </c>
    </row>
    <row r="317" ht="12.75">
      <c r="M317" s="61">
        <f>+'Personel Listesi'!C237</f>
        <v>0</v>
      </c>
    </row>
    <row r="318" ht="12.75">
      <c r="M318" s="61">
        <f>+'Personel Listesi'!C238</f>
        <v>0</v>
      </c>
    </row>
    <row r="319" ht="12.75">
      <c r="M319" s="61">
        <f>+'Personel Listesi'!C239</f>
        <v>0</v>
      </c>
    </row>
    <row r="320" ht="12.75">
      <c r="M320" s="61">
        <f>+'Personel Listesi'!C240</f>
        <v>0</v>
      </c>
    </row>
    <row r="321" ht="12.75">
      <c r="M321" s="61">
        <f>+'Personel Listesi'!C241</f>
        <v>0</v>
      </c>
    </row>
    <row r="322" ht="12.75">
      <c r="M322" s="61">
        <f>+'Personel Listesi'!C242</f>
        <v>0</v>
      </c>
    </row>
    <row r="323" ht="12.75">
      <c r="M323" s="61">
        <f>+'Personel Listesi'!C243</f>
        <v>0</v>
      </c>
    </row>
    <row r="324" ht="12.75">
      <c r="M324" s="61">
        <f>+'Personel Listesi'!C244</f>
        <v>0</v>
      </c>
    </row>
    <row r="325" ht="12.75">
      <c r="M325" s="61">
        <f>+'Personel Listesi'!C245</f>
        <v>0</v>
      </c>
    </row>
    <row r="326" ht="12.75">
      <c r="M326" s="61">
        <f>+'Personel Listesi'!C246</f>
        <v>0</v>
      </c>
    </row>
    <row r="327" ht="12.75">
      <c r="M327" s="61">
        <f>+'Personel Listesi'!C247</f>
        <v>0</v>
      </c>
    </row>
    <row r="328" ht="12.75">
      <c r="M328" s="61">
        <f>+'Personel Listesi'!C248</f>
        <v>0</v>
      </c>
    </row>
    <row r="329" ht="12.75">
      <c r="M329" s="61">
        <f>+'Personel Listesi'!C249</f>
        <v>0</v>
      </c>
    </row>
    <row r="330" ht="12.75">
      <c r="M330" s="61">
        <f>+'Personel Listesi'!C250</f>
        <v>0</v>
      </c>
    </row>
    <row r="331" ht="12.75">
      <c r="M331" s="61">
        <f>+'Personel Listesi'!C251</f>
        <v>0</v>
      </c>
    </row>
    <row r="332" ht="12.75">
      <c r="M332" s="61">
        <f>+'Personel Listesi'!C252</f>
        <v>0</v>
      </c>
    </row>
    <row r="333" ht="12.75">
      <c r="M333" s="61">
        <f>+'Personel Listesi'!C253</f>
        <v>0</v>
      </c>
    </row>
    <row r="334" ht="12.75">
      <c r="M334" s="61">
        <f>+'Personel Listesi'!C254</f>
        <v>0</v>
      </c>
    </row>
    <row r="335" ht="12.75">
      <c r="M335" s="61">
        <f>+'Personel Listesi'!C255</f>
        <v>0</v>
      </c>
    </row>
    <row r="336" ht="12.75">
      <c r="M336" s="61">
        <f>+'Personel Listesi'!C256</f>
        <v>0</v>
      </c>
    </row>
    <row r="337" ht="12.75">
      <c r="M337" s="61">
        <f>+'Personel Listesi'!C257</f>
        <v>0</v>
      </c>
    </row>
    <row r="338" ht="12.75">
      <c r="M338" s="61">
        <f>+'Personel Listesi'!C258</f>
        <v>0</v>
      </c>
    </row>
    <row r="339" ht="12.75">
      <c r="M339" s="61">
        <f>+'Personel Listesi'!C259</f>
        <v>0</v>
      </c>
    </row>
    <row r="340" ht="12.75">
      <c r="M340" s="61">
        <f>+'Personel Listesi'!C260</f>
        <v>0</v>
      </c>
    </row>
    <row r="341" ht="12.75">
      <c r="M341" s="61">
        <f>+'Personel Listesi'!C261</f>
        <v>0</v>
      </c>
    </row>
    <row r="342" ht="12.75">
      <c r="M342" s="61">
        <f>+'Personel Listesi'!C262</f>
        <v>0</v>
      </c>
    </row>
    <row r="343" ht="12.75">
      <c r="M343" s="61">
        <f>+'Personel Listesi'!C263</f>
        <v>0</v>
      </c>
    </row>
    <row r="344" ht="12.75">
      <c r="M344" s="61">
        <f>+'Personel Listesi'!C264</f>
        <v>0</v>
      </c>
    </row>
    <row r="345" ht="12.75">
      <c r="M345" s="61">
        <f>+'Personel Listesi'!C265</f>
        <v>0</v>
      </c>
    </row>
    <row r="346" ht="12.75">
      <c r="M346" s="61">
        <f>+'Personel Listesi'!C266</f>
        <v>0</v>
      </c>
    </row>
    <row r="347" ht="12.75">
      <c r="M347" s="61">
        <f>+'Personel Listesi'!C267</f>
        <v>0</v>
      </c>
    </row>
    <row r="348" ht="12.75">
      <c r="M348" s="61">
        <f>+'Personel Listesi'!C268</f>
        <v>0</v>
      </c>
    </row>
    <row r="349" ht="12.75">
      <c r="M349" s="61">
        <f>+'Personel Listesi'!C269</f>
        <v>0</v>
      </c>
    </row>
    <row r="350" ht="12.75">
      <c r="M350" s="61">
        <f>+'Personel Listesi'!C270</f>
        <v>0</v>
      </c>
    </row>
    <row r="351" ht="12.75">
      <c r="M351" s="61">
        <f>+'Personel Listesi'!C271</f>
        <v>0</v>
      </c>
    </row>
    <row r="352" ht="12.75">
      <c r="M352" s="61">
        <f>+'Personel Listesi'!C272</f>
        <v>0</v>
      </c>
    </row>
    <row r="353" ht="12.75">
      <c r="M353" s="61">
        <f>+'Personel Listesi'!C273</f>
        <v>0</v>
      </c>
    </row>
    <row r="354" ht="12.75">
      <c r="M354" s="61">
        <f>+'Personel Listesi'!C274</f>
        <v>0</v>
      </c>
    </row>
    <row r="355" ht="12.75">
      <c r="M355" s="61">
        <f>+'Personel Listesi'!C275</f>
        <v>0</v>
      </c>
    </row>
    <row r="356" ht="12.75">
      <c r="M356" s="61">
        <f>+'Personel Listesi'!C276</f>
        <v>0</v>
      </c>
    </row>
    <row r="357" ht="12.75">
      <c r="M357" s="61">
        <f>+'Personel Listesi'!C277</f>
        <v>0</v>
      </c>
    </row>
    <row r="358" ht="12.75">
      <c r="M358" s="61">
        <f>+'Personel Listesi'!C278</f>
        <v>0</v>
      </c>
    </row>
    <row r="359" ht="12.75">
      <c r="M359" s="61">
        <f>+'Personel Listesi'!C279</f>
        <v>0</v>
      </c>
    </row>
    <row r="360" ht="12.75">
      <c r="M360" s="61">
        <f>+'Personel Listesi'!C280</f>
        <v>0</v>
      </c>
    </row>
    <row r="361" ht="12.75">
      <c r="M361" s="61">
        <f>+'Personel Listesi'!C281</f>
        <v>0</v>
      </c>
    </row>
    <row r="362" ht="12.75">
      <c r="M362" s="61">
        <f>+'Personel Listesi'!C282</f>
        <v>0</v>
      </c>
    </row>
    <row r="363" ht="12.75">
      <c r="M363" s="61">
        <f>+'Personel Listesi'!C283</f>
        <v>0</v>
      </c>
    </row>
    <row r="364" ht="12.75">
      <c r="M364" s="61">
        <f>+'Personel Listesi'!C284</f>
        <v>0</v>
      </c>
    </row>
    <row r="365" ht="12.75">
      <c r="M365" s="61">
        <f>+'Personel Listesi'!C285</f>
        <v>0</v>
      </c>
    </row>
    <row r="366" ht="12.75">
      <c r="M366" s="61">
        <f>+'Personel Listesi'!C286</f>
        <v>0</v>
      </c>
    </row>
    <row r="367" ht="12.75">
      <c r="M367" s="61">
        <f>+'Personel Listesi'!C287</f>
        <v>0</v>
      </c>
    </row>
    <row r="368" ht="12.75">
      <c r="M368" s="61">
        <f>+'Personel Listesi'!C288</f>
        <v>0</v>
      </c>
    </row>
    <row r="369" ht="12.75">
      <c r="M369" s="61">
        <f>+'Personel Listesi'!C289</f>
        <v>0</v>
      </c>
    </row>
    <row r="370" ht="12.75">
      <c r="M370" s="61">
        <f>+'Personel Listesi'!C290</f>
        <v>0</v>
      </c>
    </row>
    <row r="371" ht="12.75">
      <c r="M371" s="61">
        <f>+'Personel Listesi'!C291</f>
        <v>0</v>
      </c>
    </row>
    <row r="372" ht="12.75">
      <c r="M372" s="61">
        <f>+'Personel Listesi'!C292</f>
        <v>0</v>
      </c>
    </row>
    <row r="373" ht="12.75">
      <c r="M373" s="61">
        <f>+'Personel Listesi'!C293</f>
        <v>0</v>
      </c>
    </row>
    <row r="374" ht="12.75">
      <c r="M374" s="61">
        <f>+'Personel Listesi'!C294</f>
        <v>0</v>
      </c>
    </row>
    <row r="375" ht="12.75">
      <c r="M375" s="61">
        <f>+'Personel Listesi'!C295</f>
        <v>0</v>
      </c>
    </row>
    <row r="376" ht="12.75">
      <c r="M376" s="61">
        <f>+'Personel Listesi'!C296</f>
        <v>0</v>
      </c>
    </row>
    <row r="377" ht="12.75">
      <c r="M377" s="61">
        <f>+'Personel Listesi'!C297</f>
        <v>0</v>
      </c>
    </row>
    <row r="378" ht="12.75">
      <c r="M378" s="61">
        <f>+'Personel Listesi'!C298</f>
        <v>0</v>
      </c>
    </row>
    <row r="379" ht="12.75">
      <c r="M379" s="61">
        <f>+'Personel Listesi'!C299</f>
        <v>0</v>
      </c>
    </row>
    <row r="380" ht="12.75">
      <c r="M380" s="61">
        <f>+'Personel Listesi'!C300</f>
        <v>0</v>
      </c>
    </row>
    <row r="381" ht="12.75">
      <c r="M381" s="61">
        <f>+'Personel Listesi'!C301</f>
        <v>0</v>
      </c>
    </row>
    <row r="382" ht="12.75">
      <c r="M382" s="61">
        <f>+'Personel Listesi'!C302</f>
        <v>0</v>
      </c>
    </row>
    <row r="383" ht="12.75">
      <c r="M383" s="61">
        <f>+'Personel Listesi'!C303</f>
        <v>0</v>
      </c>
    </row>
    <row r="384" ht="12.75">
      <c r="M384" s="61">
        <f>+'Personel Listesi'!C304</f>
        <v>0</v>
      </c>
    </row>
    <row r="385" ht="12.75">
      <c r="M385" s="61">
        <f>+'Personel Listesi'!C305</f>
        <v>0</v>
      </c>
    </row>
    <row r="386" ht="12.75">
      <c r="M386" s="61">
        <f>+'Personel Listesi'!C306</f>
        <v>0</v>
      </c>
    </row>
    <row r="387" ht="12.75">
      <c r="M387" s="61">
        <f>+'Personel Listesi'!C307</f>
        <v>0</v>
      </c>
    </row>
    <row r="388" ht="12.75">
      <c r="M388" s="61">
        <f>+'Personel Listesi'!C308</f>
        <v>0</v>
      </c>
    </row>
    <row r="389" ht="12.75">
      <c r="M389" s="61">
        <f>+'Personel Listesi'!C309</f>
        <v>0</v>
      </c>
    </row>
    <row r="390" ht="12.75">
      <c r="M390" s="61">
        <f>+'Personel Listesi'!C310</f>
        <v>0</v>
      </c>
    </row>
    <row r="391" ht="12.75">
      <c r="M391" s="61">
        <f>+'Personel Listesi'!C311</f>
        <v>0</v>
      </c>
    </row>
    <row r="392" ht="12.75">
      <c r="M392" s="61">
        <f>+'Personel Listesi'!C312</f>
        <v>0</v>
      </c>
    </row>
    <row r="393" ht="12.75">
      <c r="M393" s="61">
        <f>+'Personel Listesi'!C313</f>
        <v>0</v>
      </c>
    </row>
    <row r="394" ht="12.75">
      <c r="M394" s="61">
        <f>+'Personel Listesi'!C314</f>
        <v>0</v>
      </c>
    </row>
    <row r="395" ht="12.75">
      <c r="M395" s="61">
        <f>+'Personel Listesi'!C315</f>
        <v>0</v>
      </c>
    </row>
    <row r="396" ht="12.75">
      <c r="M396" s="61">
        <f>+'Personel Listesi'!C316</f>
        <v>0</v>
      </c>
    </row>
    <row r="397" ht="12.75">
      <c r="M397" s="61">
        <f>+'Personel Listesi'!C317</f>
        <v>0</v>
      </c>
    </row>
    <row r="398" ht="12.75">
      <c r="M398" s="61">
        <f>+'Personel Listesi'!C318</f>
        <v>0</v>
      </c>
    </row>
    <row r="399" ht="12.75">
      <c r="M399" s="61">
        <f>+'Personel Listesi'!C319</f>
        <v>0</v>
      </c>
    </row>
    <row r="400" ht="12.75">
      <c r="M400" s="61">
        <f>+'Personel Listesi'!C320</f>
        <v>0</v>
      </c>
    </row>
    <row r="401" ht="12.75">
      <c r="M401" s="61">
        <f>+'Personel Listesi'!C321</f>
        <v>0</v>
      </c>
    </row>
    <row r="402" ht="12.75">
      <c r="M402" s="61">
        <f>+'Personel Listesi'!C322</f>
        <v>0</v>
      </c>
    </row>
    <row r="403" ht="12.75">
      <c r="M403" s="61">
        <f>+'Personel Listesi'!C323</f>
        <v>0</v>
      </c>
    </row>
    <row r="404" ht="12.75">
      <c r="M404" s="61">
        <f>+'Personel Listesi'!C324</f>
        <v>0</v>
      </c>
    </row>
    <row r="405" ht="12.75">
      <c r="M405" s="61">
        <f>+'Personel Listesi'!C325</f>
        <v>0</v>
      </c>
    </row>
    <row r="406" ht="12.75">
      <c r="M406" s="61">
        <f>+'Personel Listesi'!C326</f>
        <v>0</v>
      </c>
    </row>
    <row r="407" ht="12.75">
      <c r="M407" s="61">
        <f>+'Personel Listesi'!C327</f>
        <v>0</v>
      </c>
    </row>
    <row r="408" ht="12.75">
      <c r="M408" s="61">
        <f>+'Personel Listesi'!C328</f>
        <v>0</v>
      </c>
    </row>
    <row r="409" ht="12.75">
      <c r="M409" s="61">
        <f>+'Personel Listesi'!C329</f>
        <v>0</v>
      </c>
    </row>
    <row r="410" ht="12.75">
      <c r="M410" s="61">
        <f>+'Personel Listesi'!C330</f>
        <v>0</v>
      </c>
    </row>
    <row r="411" ht="12.75">
      <c r="M411" s="61">
        <f>+'Personel Listesi'!C331</f>
        <v>0</v>
      </c>
    </row>
    <row r="412" ht="12.75">
      <c r="M412" s="61">
        <f>+'Personel Listesi'!C332</f>
        <v>0</v>
      </c>
    </row>
    <row r="413" ht="12.75">
      <c r="M413" s="61">
        <f>+'Personel Listesi'!C333</f>
        <v>0</v>
      </c>
    </row>
    <row r="414" ht="12.75">
      <c r="M414" s="61">
        <f>+'Personel Listesi'!C334</f>
        <v>0</v>
      </c>
    </row>
    <row r="415" ht="12.75">
      <c r="M415" s="61">
        <f>+'Personel Listesi'!C335</f>
        <v>0</v>
      </c>
    </row>
    <row r="416" ht="12.75">
      <c r="M416" s="61">
        <f>+'Personel Listesi'!C336</f>
        <v>0</v>
      </c>
    </row>
    <row r="417" ht="12.75">
      <c r="M417" s="61">
        <f>+'Personel Listesi'!C337</f>
        <v>0</v>
      </c>
    </row>
    <row r="418" ht="12.75">
      <c r="M418" s="61">
        <f>+'Personel Listesi'!C338</f>
        <v>0</v>
      </c>
    </row>
    <row r="419" ht="12.75">
      <c r="M419" s="61">
        <f>+'Personel Listesi'!C339</f>
        <v>0</v>
      </c>
    </row>
    <row r="420" ht="12.75">
      <c r="M420" s="61">
        <f>+'Personel Listesi'!C340</f>
        <v>0</v>
      </c>
    </row>
    <row r="421" ht="12.75">
      <c r="M421" s="61">
        <f>+'Personel Listesi'!C341</f>
        <v>0</v>
      </c>
    </row>
    <row r="422" ht="12.75">
      <c r="M422" s="61">
        <f>+'Personel Listesi'!C342</f>
        <v>0</v>
      </c>
    </row>
    <row r="423" ht="12.75">
      <c r="M423" s="61">
        <f>+'Personel Listesi'!C343</f>
        <v>0</v>
      </c>
    </row>
    <row r="424" ht="12.75">
      <c r="M424" s="61">
        <f>+'Personel Listesi'!C344</f>
        <v>0</v>
      </c>
    </row>
    <row r="425" ht="12.75">
      <c r="M425" s="61">
        <f>+'Personel Listesi'!C345</f>
        <v>0</v>
      </c>
    </row>
    <row r="426" ht="12.75">
      <c r="M426" s="61">
        <f>+'Personel Listesi'!C346</f>
        <v>0</v>
      </c>
    </row>
    <row r="427" ht="12.75">
      <c r="M427" s="61">
        <f>+'Personel Listesi'!C347</f>
        <v>0</v>
      </c>
    </row>
    <row r="428" ht="12.75">
      <c r="M428" s="61">
        <f>+'Personel Listesi'!C348</f>
        <v>0</v>
      </c>
    </row>
    <row r="429" ht="12.75">
      <c r="M429" s="61">
        <f>+'Personel Listesi'!C349</f>
        <v>0</v>
      </c>
    </row>
    <row r="430" ht="12.75">
      <c r="M430" s="61">
        <f>+'Personel Listesi'!C350</f>
        <v>0</v>
      </c>
    </row>
    <row r="431" ht="12.75">
      <c r="M431" s="61">
        <f>+'Personel Listesi'!C351</f>
        <v>0</v>
      </c>
    </row>
    <row r="432" ht="12.75">
      <c r="M432" s="61">
        <f>+'Personel Listesi'!C352</f>
        <v>0</v>
      </c>
    </row>
    <row r="433" ht="12.75">
      <c r="M433" s="61">
        <f>+'Personel Listesi'!C353</f>
        <v>0</v>
      </c>
    </row>
    <row r="434" ht="12.75">
      <c r="M434" s="61">
        <f>+'Personel Listesi'!C354</f>
        <v>0</v>
      </c>
    </row>
    <row r="435" ht="12.75">
      <c r="M435" s="61">
        <f>+'Personel Listesi'!C355</f>
        <v>0</v>
      </c>
    </row>
    <row r="436" ht="12.75">
      <c r="M436" s="61">
        <f>+'Personel Listesi'!C356</f>
        <v>0</v>
      </c>
    </row>
    <row r="437" ht="12.75">
      <c r="M437" s="61">
        <f>+'Personel Listesi'!C357</f>
        <v>0</v>
      </c>
    </row>
    <row r="438" ht="12.75">
      <c r="M438" s="61">
        <f>+'Personel Listesi'!C358</f>
        <v>0</v>
      </c>
    </row>
    <row r="439" ht="12.75">
      <c r="M439" s="61">
        <f>+'Personel Listesi'!C359</f>
        <v>0</v>
      </c>
    </row>
    <row r="440" ht="12.75">
      <c r="M440" s="61">
        <f>+'Personel Listesi'!C360</f>
        <v>0</v>
      </c>
    </row>
    <row r="441" ht="12.75">
      <c r="M441" s="61">
        <f>+'Personel Listesi'!C361</f>
        <v>0</v>
      </c>
    </row>
    <row r="442" ht="12.75">
      <c r="M442" s="61">
        <f>+'Personel Listesi'!C362</f>
        <v>0</v>
      </c>
    </row>
    <row r="443" ht="12.75">
      <c r="M443" s="61">
        <f>+'Personel Listesi'!C363</f>
        <v>0</v>
      </c>
    </row>
    <row r="444" ht="12.75">
      <c r="M444" s="61">
        <f>+'Personel Listesi'!C364</f>
        <v>0</v>
      </c>
    </row>
    <row r="445" ht="12.75">
      <c r="M445" s="61">
        <f>+'Personel Listesi'!C365</f>
        <v>0</v>
      </c>
    </row>
    <row r="446" ht="12.75">
      <c r="M446" s="61">
        <f>+'Personel Listesi'!C366</f>
        <v>0</v>
      </c>
    </row>
    <row r="447" ht="12.75">
      <c r="M447" s="61">
        <f>+'Personel Listesi'!C367</f>
        <v>0</v>
      </c>
    </row>
    <row r="448" ht="12.75">
      <c r="M448" s="61">
        <f>+'Personel Listesi'!C368</f>
        <v>0</v>
      </c>
    </row>
    <row r="449" ht="12.75">
      <c r="M449" s="61">
        <f>+'Personel Listesi'!C369</f>
        <v>0</v>
      </c>
    </row>
    <row r="450" ht="12.75">
      <c r="M450" s="61">
        <f>+'Personel Listesi'!C370</f>
        <v>0</v>
      </c>
    </row>
    <row r="451" ht="12.75">
      <c r="M451" s="61">
        <f>+'Personel Listesi'!C371</f>
        <v>0</v>
      </c>
    </row>
    <row r="452" ht="12.75">
      <c r="M452" s="61">
        <f>+'Personel Listesi'!C372</f>
        <v>0</v>
      </c>
    </row>
    <row r="453" ht="12.75">
      <c r="M453" s="61">
        <f>+'Personel Listesi'!C373</f>
        <v>0</v>
      </c>
    </row>
    <row r="454" ht="12.75">
      <c r="M454" s="61">
        <f>+'Personel Listesi'!C374</f>
        <v>0</v>
      </c>
    </row>
    <row r="455" ht="12.75">
      <c r="M455" s="61">
        <f>+'Personel Listesi'!C375</f>
        <v>0</v>
      </c>
    </row>
    <row r="456" ht="12.75">
      <c r="M456" s="61">
        <f>+'Personel Listesi'!C376</f>
        <v>0</v>
      </c>
    </row>
    <row r="457" ht="12.75">
      <c r="M457" s="61">
        <f>+'Personel Listesi'!C377</f>
        <v>0</v>
      </c>
    </row>
    <row r="458" ht="12.75">
      <c r="M458" s="61">
        <f>+'Personel Listesi'!C378</f>
        <v>0</v>
      </c>
    </row>
    <row r="459" ht="12.75">
      <c r="M459" s="61">
        <f>+'Personel Listesi'!C379</f>
        <v>0</v>
      </c>
    </row>
    <row r="460" ht="12.75">
      <c r="M460" s="61">
        <f>+'Personel Listesi'!C380</f>
        <v>0</v>
      </c>
    </row>
    <row r="461" ht="12.75">
      <c r="M461" s="61">
        <f>+'Personel Listesi'!C381</f>
        <v>0</v>
      </c>
    </row>
    <row r="462" ht="12.75">
      <c r="M462" s="61">
        <f>+'Personel Listesi'!C382</f>
        <v>0</v>
      </c>
    </row>
    <row r="463" ht="12.75">
      <c r="M463" s="61">
        <f>+'Personel Listesi'!C383</f>
        <v>0</v>
      </c>
    </row>
    <row r="464" ht="12.75">
      <c r="M464" s="61">
        <f>+'Personel Listesi'!C384</f>
        <v>0</v>
      </c>
    </row>
    <row r="465" ht="12.75">
      <c r="M465" s="61">
        <f>+'Personel Listesi'!C385</f>
        <v>0</v>
      </c>
    </row>
    <row r="466" ht="12.75">
      <c r="M466" s="61">
        <f>+'Personel Listesi'!C386</f>
        <v>0</v>
      </c>
    </row>
    <row r="467" ht="12.75">
      <c r="M467" s="61">
        <f>+'Personel Listesi'!C387</f>
        <v>0</v>
      </c>
    </row>
    <row r="468" ht="12.75">
      <c r="M468" s="61">
        <f>+'Personel Listesi'!C388</f>
        <v>0</v>
      </c>
    </row>
    <row r="469" ht="12.75">
      <c r="M469" s="61">
        <f>+'Personel Listesi'!C389</f>
        <v>0</v>
      </c>
    </row>
    <row r="470" ht="12.75">
      <c r="M470" s="61">
        <f>+'Personel Listesi'!C390</f>
        <v>0</v>
      </c>
    </row>
    <row r="471" ht="12.75">
      <c r="M471" s="61">
        <f>+'Personel Listesi'!C391</f>
        <v>0</v>
      </c>
    </row>
    <row r="472" ht="12.75">
      <c r="M472" s="61">
        <f>+'Personel Listesi'!C392</f>
        <v>0</v>
      </c>
    </row>
    <row r="473" ht="12.75">
      <c r="M473" s="61">
        <f>+'Personel Listesi'!C393</f>
        <v>0</v>
      </c>
    </row>
    <row r="474" ht="12.75">
      <c r="M474" s="61">
        <f>+'Personel Listesi'!C394</f>
        <v>0</v>
      </c>
    </row>
    <row r="475" ht="12.75">
      <c r="M475" s="61">
        <f>+'Personel Listesi'!C395</f>
        <v>0</v>
      </c>
    </row>
    <row r="476" ht="12.75">
      <c r="M476" s="61">
        <f>+'Personel Listesi'!C396</f>
        <v>0</v>
      </c>
    </row>
    <row r="477" ht="12.75">
      <c r="M477" s="61">
        <f>+'Personel Listesi'!C397</f>
        <v>0</v>
      </c>
    </row>
    <row r="478" ht="12.75">
      <c r="M478" s="61">
        <f>+'Personel Listesi'!C398</f>
        <v>0</v>
      </c>
    </row>
    <row r="479" ht="12.75">
      <c r="M479" s="61">
        <f>+'Personel Listesi'!C399</f>
        <v>0</v>
      </c>
    </row>
    <row r="480" ht="12.75">
      <c r="M480" s="61">
        <f>+'Personel Listesi'!C400</f>
        <v>0</v>
      </c>
    </row>
    <row r="481" ht="12.75">
      <c r="M481" s="61">
        <f>+'Personel Listesi'!C401</f>
        <v>0</v>
      </c>
    </row>
    <row r="482" ht="12.75">
      <c r="M482" s="61">
        <f>+'Personel Listesi'!C402</f>
        <v>0</v>
      </c>
    </row>
    <row r="483" ht="12.75">
      <c r="M483" s="61">
        <f>+'Personel Listesi'!C403</f>
        <v>0</v>
      </c>
    </row>
    <row r="484" ht="12.75">
      <c r="M484" s="61">
        <f>+'Personel Listesi'!C404</f>
        <v>0</v>
      </c>
    </row>
    <row r="485" ht="12.75">
      <c r="M485" s="61">
        <f>+'Personel Listesi'!C405</f>
        <v>0</v>
      </c>
    </row>
    <row r="486" ht="12.75">
      <c r="M486" s="61">
        <f>+'Personel Listesi'!C406</f>
        <v>0</v>
      </c>
    </row>
    <row r="487" ht="12.75">
      <c r="M487" s="61">
        <f>+'Personel Listesi'!C407</f>
        <v>0</v>
      </c>
    </row>
    <row r="488" ht="12.75">
      <c r="M488" s="61">
        <f>+'Personel Listesi'!C408</f>
        <v>0</v>
      </c>
    </row>
    <row r="489" ht="12.75">
      <c r="M489" s="61">
        <f>+'Personel Listesi'!C409</f>
        <v>0</v>
      </c>
    </row>
    <row r="490" ht="12.75">
      <c r="M490" s="61">
        <f>+'Personel Listesi'!C410</f>
        <v>0</v>
      </c>
    </row>
    <row r="491" ht="12.75">
      <c r="M491" s="61">
        <f>+'Personel Listesi'!C411</f>
        <v>0</v>
      </c>
    </row>
    <row r="492" ht="12.75">
      <c r="M492" s="61">
        <f>+'Personel Listesi'!C412</f>
        <v>0</v>
      </c>
    </row>
    <row r="493" ht="12.75">
      <c r="M493" s="61">
        <f>+'Personel Listesi'!C413</f>
        <v>0</v>
      </c>
    </row>
    <row r="494" ht="12.75">
      <c r="M494" s="61">
        <f>+'Personel Listesi'!C414</f>
        <v>0</v>
      </c>
    </row>
    <row r="495" ht="12.75">
      <c r="M495" s="61">
        <f>+'Personel Listesi'!C415</f>
        <v>0</v>
      </c>
    </row>
    <row r="496" ht="12.75">
      <c r="M496" s="61">
        <f>+'Personel Listesi'!C416</f>
        <v>0</v>
      </c>
    </row>
    <row r="497" ht="12.75">
      <c r="M497" s="61">
        <f>+'Personel Listesi'!C417</f>
        <v>0</v>
      </c>
    </row>
    <row r="498" ht="12.75">
      <c r="M498" s="61">
        <f>+'Personel Listesi'!C418</f>
        <v>0</v>
      </c>
    </row>
    <row r="499" ht="12.75">
      <c r="M499" s="61">
        <f>+'Personel Listesi'!C419</f>
        <v>0</v>
      </c>
    </row>
    <row r="500" ht="12.75">
      <c r="M500" s="61">
        <f>+'Personel Listesi'!C420</f>
        <v>0</v>
      </c>
    </row>
    <row r="501" ht="12.75">
      <c r="M501" s="61">
        <f>+'Personel Listesi'!C421</f>
        <v>0</v>
      </c>
    </row>
    <row r="502" ht="12.75">
      <c r="M502" s="61">
        <f>+'Personel Listesi'!C422</f>
        <v>0</v>
      </c>
    </row>
    <row r="503" ht="12.75">
      <c r="M503" s="61">
        <f>+'Personel Listesi'!C423</f>
        <v>0</v>
      </c>
    </row>
    <row r="504" ht="12.75">
      <c r="M504" s="61">
        <f>+'Personel Listesi'!C424</f>
        <v>0</v>
      </c>
    </row>
    <row r="505" ht="12.75">
      <c r="M505" s="61">
        <f>+'Personel Listesi'!C425</f>
        <v>0</v>
      </c>
    </row>
    <row r="506" ht="12.75">
      <c r="M506" s="61">
        <f>+'Personel Listesi'!C426</f>
        <v>0</v>
      </c>
    </row>
    <row r="507" ht="12.75">
      <c r="M507" s="61">
        <f>+'Personel Listesi'!C427</f>
        <v>0</v>
      </c>
    </row>
    <row r="508" ht="12.75">
      <c r="M508" s="61">
        <f>+'Personel Listesi'!C428</f>
        <v>0</v>
      </c>
    </row>
    <row r="509" ht="12.75">
      <c r="M509" s="61">
        <f>+'Personel Listesi'!C429</f>
        <v>0</v>
      </c>
    </row>
    <row r="510" ht="12.75">
      <c r="M510" s="61">
        <f>+'Personel Listesi'!C430</f>
        <v>0</v>
      </c>
    </row>
    <row r="511" ht="12.75">
      <c r="M511" s="61">
        <f>+'Personel Listesi'!C431</f>
        <v>0</v>
      </c>
    </row>
    <row r="512" ht="12.75">
      <c r="M512" s="61">
        <f>+'Personel Listesi'!C432</f>
        <v>0</v>
      </c>
    </row>
    <row r="513" ht="12.75">
      <c r="M513" s="61">
        <f>+'Personel Listesi'!C433</f>
        <v>0</v>
      </c>
    </row>
    <row r="514" ht="12.75">
      <c r="M514" s="61">
        <f>+'Personel Listesi'!C434</f>
        <v>0</v>
      </c>
    </row>
    <row r="515" ht="12.75">
      <c r="M515" s="61">
        <f>+'Personel Listesi'!C435</f>
        <v>0</v>
      </c>
    </row>
    <row r="516" ht="12.75">
      <c r="M516" s="61">
        <f>+'Personel Listesi'!C436</f>
        <v>0</v>
      </c>
    </row>
    <row r="517" ht="12.75">
      <c r="M517" s="61">
        <f>+'Personel Listesi'!C437</f>
        <v>0</v>
      </c>
    </row>
    <row r="518" ht="12.75">
      <c r="M518" s="61">
        <f>+'Personel Listesi'!C438</f>
        <v>0</v>
      </c>
    </row>
    <row r="519" ht="12.75">
      <c r="M519" s="61">
        <f>+'Personel Listesi'!C439</f>
        <v>0</v>
      </c>
    </row>
    <row r="520" ht="12.75">
      <c r="M520" s="61">
        <f>+'Personel Listesi'!C440</f>
        <v>0</v>
      </c>
    </row>
    <row r="521" ht="12.75">
      <c r="M521" s="61">
        <f>+'Personel Listesi'!C441</f>
        <v>0</v>
      </c>
    </row>
    <row r="522" ht="12.75">
      <c r="M522" s="61">
        <f>+'Personel Listesi'!C442</f>
        <v>0</v>
      </c>
    </row>
    <row r="523" ht="12.75">
      <c r="M523" s="61">
        <f>+'Personel Listesi'!C443</f>
        <v>0</v>
      </c>
    </row>
    <row r="524" ht="12.75">
      <c r="M524" s="61">
        <f>+'Personel Listesi'!C444</f>
        <v>0</v>
      </c>
    </row>
    <row r="525" ht="12.75">
      <c r="M525" s="61">
        <f>+'Personel Listesi'!C445</f>
        <v>0</v>
      </c>
    </row>
    <row r="526" ht="12.75">
      <c r="M526" s="61">
        <f>+'Personel Listesi'!C446</f>
        <v>0</v>
      </c>
    </row>
    <row r="527" ht="12.75">
      <c r="M527" s="61">
        <f>+'Personel Listesi'!C447</f>
        <v>0</v>
      </c>
    </row>
    <row r="528" ht="12.75">
      <c r="M528" s="61">
        <f>+'Personel Listesi'!C448</f>
        <v>0</v>
      </c>
    </row>
    <row r="529" ht="12.75">
      <c r="M529" s="61">
        <f>+'Personel Listesi'!C449</f>
        <v>0</v>
      </c>
    </row>
    <row r="530" ht="12.75">
      <c r="M530" s="61">
        <f>+'Personel Listesi'!C450</f>
        <v>0</v>
      </c>
    </row>
    <row r="531" ht="12.75">
      <c r="M531" s="61">
        <f>+'Personel Listesi'!C451</f>
        <v>0</v>
      </c>
    </row>
    <row r="532" ht="12.75">
      <c r="M532" s="61">
        <f>+'Personel Listesi'!C452</f>
        <v>0</v>
      </c>
    </row>
    <row r="533" ht="12.75">
      <c r="M533" s="61">
        <f>+'Personel Listesi'!C453</f>
        <v>0</v>
      </c>
    </row>
    <row r="534" ht="12.75">
      <c r="M534" s="61">
        <f>+'Personel Listesi'!C454</f>
        <v>0</v>
      </c>
    </row>
    <row r="535" ht="12.75">
      <c r="M535" s="61">
        <f>+'Personel Listesi'!C455</f>
        <v>0</v>
      </c>
    </row>
    <row r="536" ht="12.75">
      <c r="M536" s="61">
        <f>+'Personel Listesi'!C456</f>
        <v>0</v>
      </c>
    </row>
    <row r="537" ht="12.75">
      <c r="M537" s="61">
        <f>+'Personel Listesi'!C457</f>
        <v>0</v>
      </c>
    </row>
    <row r="538" ht="12.75">
      <c r="M538" s="61">
        <f>+'Personel Listesi'!C458</f>
        <v>0</v>
      </c>
    </row>
    <row r="539" ht="12.75">
      <c r="M539" s="61">
        <f>+'Personel Listesi'!C459</f>
        <v>0</v>
      </c>
    </row>
    <row r="540" ht="12.75">
      <c r="M540" s="61">
        <f>+'Personel Listesi'!C460</f>
        <v>0</v>
      </c>
    </row>
    <row r="541" ht="12.75">
      <c r="M541" s="61">
        <f>+'Personel Listesi'!C461</f>
        <v>0</v>
      </c>
    </row>
    <row r="542" ht="12.75">
      <c r="M542" s="61">
        <f>+'Personel Listesi'!C462</f>
        <v>0</v>
      </c>
    </row>
    <row r="543" ht="12.75">
      <c r="M543" s="61">
        <f>+'Personel Listesi'!C463</f>
        <v>0</v>
      </c>
    </row>
    <row r="544" ht="12.75">
      <c r="M544" s="61">
        <f>+'Personel Listesi'!C464</f>
        <v>0</v>
      </c>
    </row>
    <row r="545" ht="12.75">
      <c r="M545" s="61">
        <f>+'Personel Listesi'!C465</f>
        <v>0</v>
      </c>
    </row>
    <row r="546" ht="12.75">
      <c r="M546" s="61">
        <f>+'Personel Listesi'!C466</f>
        <v>0</v>
      </c>
    </row>
    <row r="547" ht="12.75">
      <c r="M547" s="61">
        <f>+'Personel Listesi'!C467</f>
        <v>0</v>
      </c>
    </row>
    <row r="548" ht="12.75">
      <c r="M548" s="61">
        <f>+'Personel Listesi'!C468</f>
        <v>0</v>
      </c>
    </row>
    <row r="549" ht="12.75">
      <c r="M549" s="61">
        <f>+'Personel Listesi'!C469</f>
        <v>0</v>
      </c>
    </row>
    <row r="550" ht="12.75">
      <c r="M550" s="61">
        <f>+'Personel Listesi'!C470</f>
        <v>0</v>
      </c>
    </row>
    <row r="551" ht="12.75">
      <c r="M551" s="61">
        <f>+'Personel Listesi'!C471</f>
        <v>0</v>
      </c>
    </row>
    <row r="552" ht="12.75">
      <c r="M552" s="61">
        <f>+'Personel Listesi'!C472</f>
        <v>0</v>
      </c>
    </row>
    <row r="553" ht="12.75">
      <c r="M553" s="61">
        <f>+'Personel Listesi'!C473</f>
        <v>0</v>
      </c>
    </row>
    <row r="554" ht="12.75">
      <c r="M554" s="61">
        <f>+'Personel Listesi'!C474</f>
        <v>0</v>
      </c>
    </row>
    <row r="555" ht="12.75">
      <c r="M555" s="61">
        <f>+'Personel Listesi'!C475</f>
        <v>0</v>
      </c>
    </row>
    <row r="556" ht="12.75">
      <c r="M556" s="61">
        <f>+'Personel Listesi'!C476</f>
        <v>0</v>
      </c>
    </row>
    <row r="557" ht="12.75">
      <c r="M557" s="61">
        <f>+'Personel Listesi'!C477</f>
        <v>0</v>
      </c>
    </row>
    <row r="558" ht="12.75">
      <c r="M558" s="61">
        <f>+'Personel Listesi'!C478</f>
        <v>0</v>
      </c>
    </row>
    <row r="559" ht="12.75">
      <c r="M559" s="61">
        <f>+'Personel Listesi'!C479</f>
        <v>0</v>
      </c>
    </row>
    <row r="560" ht="12.75">
      <c r="M560" s="61">
        <f>+'Personel Listesi'!C480</f>
        <v>0</v>
      </c>
    </row>
    <row r="561" ht="12.75">
      <c r="M561" s="61">
        <f>+'Personel Listesi'!C481</f>
        <v>0</v>
      </c>
    </row>
    <row r="562" ht="12.75">
      <c r="M562" s="61">
        <f>+'Personel Listesi'!C482</f>
        <v>0</v>
      </c>
    </row>
    <row r="563" ht="12.75">
      <c r="M563" s="61">
        <f>+'Personel Listesi'!C483</f>
        <v>0</v>
      </c>
    </row>
    <row r="564" ht="12.75">
      <c r="M564" s="61">
        <f>+'Personel Listesi'!C484</f>
        <v>0</v>
      </c>
    </row>
    <row r="565" ht="12.75">
      <c r="M565" s="61">
        <f>+'Personel Listesi'!C485</f>
        <v>0</v>
      </c>
    </row>
    <row r="566" ht="12.75">
      <c r="M566" s="61">
        <f>+'Personel Listesi'!C486</f>
        <v>0</v>
      </c>
    </row>
    <row r="567" ht="12.75">
      <c r="M567" s="61">
        <f>+'Personel Listesi'!C487</f>
        <v>0</v>
      </c>
    </row>
    <row r="568" ht="12.75">
      <c r="M568" s="61">
        <f>+'Personel Listesi'!C488</f>
        <v>0</v>
      </c>
    </row>
    <row r="569" ht="12.75">
      <c r="M569" s="61">
        <f>+'Personel Listesi'!C489</f>
        <v>0</v>
      </c>
    </row>
    <row r="570" ht="12.75">
      <c r="M570" s="61">
        <f>+'Personel Listesi'!C490</f>
        <v>0</v>
      </c>
    </row>
    <row r="571" ht="12.75">
      <c r="M571" s="61">
        <f>+'Personel Listesi'!C491</f>
        <v>0</v>
      </c>
    </row>
    <row r="572" ht="12.75">
      <c r="M572" s="61">
        <f>+'Personel Listesi'!C492</f>
        <v>0</v>
      </c>
    </row>
    <row r="573" ht="12.75">
      <c r="M573" s="61">
        <f>+'Personel Listesi'!C493</f>
        <v>0</v>
      </c>
    </row>
    <row r="574" ht="12.75">
      <c r="M574" s="61">
        <f>+'Personel Listesi'!C494</f>
        <v>0</v>
      </c>
    </row>
    <row r="575" ht="12.75">
      <c r="M575" s="61">
        <f>+'Personel Listesi'!C495</f>
        <v>0</v>
      </c>
    </row>
    <row r="576" ht="12.75">
      <c r="M576" s="61">
        <f>+'Personel Listesi'!C496</f>
        <v>0</v>
      </c>
    </row>
    <row r="577" ht="12.75">
      <c r="M577" s="61">
        <f>+'Personel Listesi'!C497</f>
        <v>0</v>
      </c>
    </row>
    <row r="578" ht="12.75">
      <c r="M578" s="61">
        <f>+'Personel Listesi'!C498</f>
        <v>0</v>
      </c>
    </row>
    <row r="579" ht="12.75">
      <c r="M579" s="61">
        <f>+'Personel Listesi'!C499</f>
        <v>0</v>
      </c>
    </row>
    <row r="580" ht="12.75">
      <c r="M580" s="61">
        <f>+'Personel Listesi'!C500</f>
        <v>0</v>
      </c>
    </row>
    <row r="581" ht="12.75">
      <c r="M581" s="61">
        <f>+'Personel Listesi'!C501</f>
        <v>0</v>
      </c>
    </row>
    <row r="582" ht="12.75">
      <c r="M582" s="61">
        <f>+'Personel Listesi'!C502</f>
        <v>0</v>
      </c>
    </row>
    <row r="583" ht="12.75">
      <c r="M583" s="61">
        <f>+'Personel Listesi'!C503</f>
        <v>0</v>
      </c>
    </row>
    <row r="584" ht="12.75">
      <c r="M584" s="61">
        <f>+'Personel Listesi'!C504</f>
        <v>0</v>
      </c>
    </row>
    <row r="585" ht="12.75">
      <c r="M585" s="61">
        <f>+'Personel Listesi'!C505</f>
        <v>0</v>
      </c>
    </row>
    <row r="586" ht="12.75">
      <c r="M586" s="61">
        <f>+'Personel Listesi'!C506</f>
        <v>0</v>
      </c>
    </row>
    <row r="587" ht="12.75">
      <c r="M587" s="61">
        <f>+'Personel Listesi'!C507</f>
        <v>0</v>
      </c>
    </row>
    <row r="588" ht="12.75">
      <c r="M588" s="61">
        <f>+'Personel Listesi'!C508</f>
        <v>0</v>
      </c>
    </row>
    <row r="589" ht="12.75">
      <c r="M589" s="61">
        <f>+'Personel Listesi'!C509</f>
        <v>0</v>
      </c>
    </row>
    <row r="590" ht="12.75">
      <c r="M590" s="61">
        <f>+'Personel Listesi'!C510</f>
        <v>0</v>
      </c>
    </row>
    <row r="591" ht="12.75">
      <c r="M591" s="61">
        <f>+'Personel Listesi'!C511</f>
        <v>0</v>
      </c>
    </row>
    <row r="592" ht="12.75">
      <c r="M592" s="61">
        <f>+'Personel Listesi'!C512</f>
        <v>0</v>
      </c>
    </row>
    <row r="593" ht="12.75">
      <c r="M593" s="61">
        <f>+'Personel Listesi'!C513</f>
        <v>0</v>
      </c>
    </row>
    <row r="594" ht="12.75">
      <c r="M594" s="61">
        <f>+'Personel Listesi'!C514</f>
        <v>0</v>
      </c>
    </row>
    <row r="595" ht="12.75">
      <c r="M595" s="61">
        <f>+'Personel Listesi'!C515</f>
        <v>0</v>
      </c>
    </row>
    <row r="596" ht="12.75">
      <c r="M596" s="61">
        <f>+'Personel Listesi'!C516</f>
        <v>0</v>
      </c>
    </row>
    <row r="597" ht="12.75">
      <c r="M597" s="61">
        <f>+'Personel Listesi'!C517</f>
        <v>0</v>
      </c>
    </row>
    <row r="598" ht="12.75">
      <c r="M598" s="61">
        <f>+'Personel Listesi'!C518</f>
        <v>0</v>
      </c>
    </row>
    <row r="599" ht="12.75">
      <c r="M599" s="61">
        <f>+'Personel Listesi'!C519</f>
        <v>0</v>
      </c>
    </row>
    <row r="600" ht="12.75">
      <c r="M600" s="61">
        <f>+'Personel Listesi'!C520</f>
        <v>0</v>
      </c>
    </row>
    <row r="601" ht="12.75">
      <c r="M601" s="61">
        <f>+'Personel Listesi'!C521</f>
        <v>0</v>
      </c>
    </row>
    <row r="602" ht="12.75">
      <c r="M602" s="61">
        <f>+'Personel Listesi'!C522</f>
        <v>0</v>
      </c>
    </row>
    <row r="603" ht="12.75">
      <c r="M603" s="61">
        <f>+'Personel Listesi'!C523</f>
        <v>0</v>
      </c>
    </row>
    <row r="604" ht="12.75">
      <c r="M604" s="61">
        <f>+'Personel Listesi'!C524</f>
        <v>0</v>
      </c>
    </row>
    <row r="605" ht="12.75">
      <c r="M605" s="61">
        <f>+'Personel Listesi'!C525</f>
        <v>0</v>
      </c>
    </row>
    <row r="606" ht="12.75">
      <c r="M606" s="61">
        <f>+'Personel Listesi'!C526</f>
        <v>0</v>
      </c>
    </row>
    <row r="607" ht="12.75">
      <c r="M607" s="61">
        <f>+'Personel Listesi'!C527</f>
        <v>0</v>
      </c>
    </row>
    <row r="608" ht="12.75">
      <c r="M608" s="61">
        <f>+'Personel Listesi'!C528</f>
        <v>0</v>
      </c>
    </row>
    <row r="609" ht="12.75">
      <c r="M609" s="61">
        <f>+'Personel Listesi'!C529</f>
        <v>0</v>
      </c>
    </row>
    <row r="610" ht="12.75">
      <c r="M610" s="61">
        <f>+'Personel Listesi'!C530</f>
        <v>0</v>
      </c>
    </row>
    <row r="611" ht="12.75">
      <c r="M611" s="61">
        <f>+'Personel Listesi'!C531</f>
        <v>0</v>
      </c>
    </row>
    <row r="612" ht="12.75">
      <c r="M612" s="61">
        <f>+'Personel Listesi'!C532</f>
        <v>0</v>
      </c>
    </row>
    <row r="613" ht="12.75">
      <c r="M613" s="61">
        <f>+'Personel Listesi'!C533</f>
        <v>0</v>
      </c>
    </row>
    <row r="614" ht="12.75">
      <c r="M614" s="61">
        <f>+'Personel Listesi'!C534</f>
        <v>0</v>
      </c>
    </row>
    <row r="615" ht="12.75">
      <c r="M615" s="61">
        <f>+'Personel Listesi'!C535</f>
        <v>0</v>
      </c>
    </row>
    <row r="616" ht="12.75">
      <c r="M616" s="61">
        <f>+'Personel Listesi'!C536</f>
        <v>0</v>
      </c>
    </row>
    <row r="617" ht="12.75">
      <c r="M617" s="61">
        <f>+'Personel Listesi'!C537</f>
        <v>0</v>
      </c>
    </row>
    <row r="618" ht="12.75">
      <c r="M618" s="61">
        <f>+'Personel Listesi'!C538</f>
        <v>0</v>
      </c>
    </row>
    <row r="619" ht="12.75">
      <c r="M619" s="61">
        <f>+'Personel Listesi'!C539</f>
        <v>0</v>
      </c>
    </row>
    <row r="620" ht="12.75">
      <c r="M620" s="61">
        <f>+'Personel Listesi'!C540</f>
        <v>0</v>
      </c>
    </row>
    <row r="621" ht="12.75">
      <c r="M621" s="61">
        <f>+'Personel Listesi'!C541</f>
        <v>0</v>
      </c>
    </row>
    <row r="622" ht="12.75">
      <c r="M622" s="61">
        <f>+'Personel Listesi'!C542</f>
        <v>0</v>
      </c>
    </row>
    <row r="623" ht="12.75">
      <c r="M623" s="61">
        <f>+'Personel Listesi'!C543</f>
        <v>0</v>
      </c>
    </row>
    <row r="624" ht="12.75">
      <c r="M624" s="61">
        <f>+'Personel Listesi'!C544</f>
        <v>0</v>
      </c>
    </row>
    <row r="625" ht="12.75">
      <c r="M625" s="61">
        <f>+'Personel Listesi'!C545</f>
        <v>0</v>
      </c>
    </row>
    <row r="626" ht="12.75">
      <c r="M626" s="61">
        <f>+'Personel Listesi'!C546</f>
        <v>0</v>
      </c>
    </row>
    <row r="627" ht="12.75">
      <c r="M627" s="61">
        <f>+'Personel Listesi'!C547</f>
        <v>0</v>
      </c>
    </row>
    <row r="628" ht="12.75">
      <c r="M628" s="61">
        <f>+'Personel Listesi'!C548</f>
        <v>0</v>
      </c>
    </row>
    <row r="629" ht="12.75">
      <c r="M629" s="61">
        <f>+'Personel Listesi'!C549</f>
        <v>0</v>
      </c>
    </row>
    <row r="630" ht="12.75">
      <c r="M630" s="61">
        <f>+'Personel Listesi'!C550</f>
        <v>0</v>
      </c>
    </row>
    <row r="631" ht="12.75">
      <c r="M631" s="61">
        <f>+'Personel Listesi'!C551</f>
        <v>0</v>
      </c>
    </row>
    <row r="632" ht="12.75">
      <c r="M632" s="61">
        <f>+'Personel Listesi'!C552</f>
        <v>0</v>
      </c>
    </row>
    <row r="633" ht="12.75">
      <c r="M633" s="61">
        <f>+'Personel Listesi'!C553</f>
        <v>0</v>
      </c>
    </row>
    <row r="634" ht="12.75">
      <c r="M634" s="61">
        <f>+'Personel Listesi'!C554</f>
        <v>0</v>
      </c>
    </row>
    <row r="635" ht="12.75">
      <c r="M635" s="61">
        <f>+'Personel Listesi'!C555</f>
        <v>0</v>
      </c>
    </row>
    <row r="636" ht="12.75">
      <c r="M636" s="61">
        <f>+'Personel Listesi'!C556</f>
        <v>0</v>
      </c>
    </row>
    <row r="637" ht="12.75">
      <c r="M637" s="61">
        <f>+'Personel Listesi'!C557</f>
        <v>0</v>
      </c>
    </row>
    <row r="638" ht="12.75">
      <c r="M638" s="61">
        <f>+'Personel Listesi'!C558</f>
        <v>0</v>
      </c>
    </row>
    <row r="639" ht="12.75">
      <c r="M639" s="61">
        <f>+'Personel Listesi'!C559</f>
        <v>0</v>
      </c>
    </row>
    <row r="640" ht="12.75">
      <c r="M640" s="61">
        <f>+'Personel Listesi'!C560</f>
        <v>0</v>
      </c>
    </row>
    <row r="641" ht="12.75">
      <c r="M641" s="61">
        <f>+'Personel Listesi'!C561</f>
        <v>0</v>
      </c>
    </row>
    <row r="642" ht="12.75">
      <c r="M642" s="61">
        <f>+'Personel Listesi'!C562</f>
        <v>0</v>
      </c>
    </row>
    <row r="643" ht="12.75">
      <c r="M643" s="61">
        <f>+'Personel Listesi'!C563</f>
        <v>0</v>
      </c>
    </row>
    <row r="644" ht="12.75">
      <c r="M644" s="61">
        <f>+'Personel Listesi'!C564</f>
        <v>0</v>
      </c>
    </row>
    <row r="645" ht="12.75">
      <c r="M645" s="61">
        <f>+'Personel Listesi'!C565</f>
        <v>0</v>
      </c>
    </row>
    <row r="646" ht="12.75">
      <c r="M646" s="61">
        <f>+'Personel Listesi'!C566</f>
        <v>0</v>
      </c>
    </row>
    <row r="647" ht="12.75">
      <c r="M647" s="61">
        <f>+'Personel Listesi'!C567</f>
        <v>0</v>
      </c>
    </row>
    <row r="648" ht="12.75">
      <c r="M648" s="61">
        <f>+'Personel Listesi'!C568</f>
        <v>0</v>
      </c>
    </row>
    <row r="649" ht="12.75">
      <c r="M649" s="61">
        <f>+'Personel Listesi'!C569</f>
        <v>0</v>
      </c>
    </row>
    <row r="650" ht="12.75">
      <c r="M650" s="61">
        <f>+'Personel Listesi'!C570</f>
        <v>0</v>
      </c>
    </row>
    <row r="651" ht="12.75">
      <c r="M651" s="61">
        <f>+'Personel Listesi'!C571</f>
        <v>0</v>
      </c>
    </row>
    <row r="652" ht="12.75">
      <c r="M652" s="61">
        <f>+'Personel Listesi'!C572</f>
        <v>0</v>
      </c>
    </row>
    <row r="653" ht="12.75">
      <c r="M653" s="61">
        <f>+'Personel Listesi'!C573</f>
        <v>0</v>
      </c>
    </row>
    <row r="654" ht="12.75">
      <c r="M654" s="61">
        <f>+'Personel Listesi'!C574</f>
        <v>0</v>
      </c>
    </row>
    <row r="655" ht="12.75">
      <c r="M655" s="61">
        <f>+'Personel Listesi'!C575</f>
        <v>0</v>
      </c>
    </row>
    <row r="656" ht="12.75">
      <c r="M656" s="61">
        <f>+'Personel Listesi'!C576</f>
        <v>0</v>
      </c>
    </row>
    <row r="657" ht="12.75">
      <c r="M657" s="61">
        <f>+'Personel Listesi'!C577</f>
        <v>0</v>
      </c>
    </row>
    <row r="658" ht="12.75">
      <c r="M658" s="61">
        <f>+'Personel Listesi'!C578</f>
        <v>0</v>
      </c>
    </row>
    <row r="659" ht="12.75">
      <c r="M659" s="61">
        <f>+'Personel Listesi'!C579</f>
        <v>0</v>
      </c>
    </row>
    <row r="660" ht="12.75">
      <c r="M660" s="61">
        <f>+'Personel Listesi'!C580</f>
        <v>0</v>
      </c>
    </row>
    <row r="661" ht="12.75">
      <c r="M661" s="61">
        <f>+'Personel Listesi'!C581</f>
        <v>0</v>
      </c>
    </row>
    <row r="662" ht="12.75">
      <c r="M662" s="61">
        <f>+'Personel Listesi'!C582</f>
        <v>0</v>
      </c>
    </row>
    <row r="663" ht="12.75">
      <c r="M663" s="61">
        <f>+'Personel Listesi'!C583</f>
        <v>0</v>
      </c>
    </row>
    <row r="664" ht="12.75">
      <c r="M664" s="61">
        <f>+'Personel Listesi'!C584</f>
        <v>0</v>
      </c>
    </row>
    <row r="665" ht="12.75">
      <c r="M665" s="61">
        <f>+'Personel Listesi'!C585</f>
        <v>0</v>
      </c>
    </row>
    <row r="666" ht="12.75">
      <c r="M666" s="61">
        <f>+'Personel Listesi'!C586</f>
        <v>0</v>
      </c>
    </row>
    <row r="667" ht="12.75">
      <c r="M667" s="61">
        <f>+'Personel Listesi'!C587</f>
        <v>0</v>
      </c>
    </row>
    <row r="668" ht="12.75">
      <c r="M668" s="61">
        <f>+'Personel Listesi'!C588</f>
        <v>0</v>
      </c>
    </row>
    <row r="669" ht="12.75">
      <c r="M669" s="61">
        <f>+'Personel Listesi'!C589</f>
        <v>0</v>
      </c>
    </row>
    <row r="670" ht="12.75">
      <c r="M670" s="61">
        <f>+'Personel Listesi'!C590</f>
        <v>0</v>
      </c>
    </row>
    <row r="671" ht="12.75">
      <c r="M671" s="61">
        <f>+'Personel Listesi'!C591</f>
        <v>0</v>
      </c>
    </row>
    <row r="672" ht="12.75">
      <c r="M672" s="61">
        <f>+'Personel Listesi'!C592</f>
        <v>0</v>
      </c>
    </row>
    <row r="673" ht="12.75">
      <c r="M673" s="61">
        <f>+'Personel Listesi'!C593</f>
        <v>0</v>
      </c>
    </row>
    <row r="674" ht="12.75">
      <c r="M674" s="61">
        <f>+'Personel Listesi'!C594</f>
        <v>0</v>
      </c>
    </row>
    <row r="675" ht="12.75">
      <c r="M675" s="61">
        <f>+'Personel Listesi'!C595</f>
        <v>0</v>
      </c>
    </row>
    <row r="676" ht="12.75">
      <c r="M676" s="61">
        <f>+'Personel Listesi'!C596</f>
        <v>0</v>
      </c>
    </row>
    <row r="677" ht="12.75">
      <c r="M677" s="61">
        <f>+'Personel Listesi'!C597</f>
        <v>0</v>
      </c>
    </row>
    <row r="678" ht="12.75">
      <c r="M678" s="61">
        <f>+'Personel Listesi'!C598</f>
        <v>0</v>
      </c>
    </row>
    <row r="679" ht="12.75">
      <c r="M679" s="61">
        <f>+'Personel Listesi'!C599</f>
        <v>0</v>
      </c>
    </row>
    <row r="680" ht="12.75">
      <c r="M680" s="61">
        <f>+'Personel Listesi'!C600</f>
        <v>0</v>
      </c>
    </row>
    <row r="681" ht="12.75">
      <c r="M681" s="61">
        <f>+'Personel Listesi'!C601</f>
        <v>0</v>
      </c>
    </row>
    <row r="682" ht="12.75">
      <c r="M682" s="61">
        <f>+'Personel Listesi'!C602</f>
        <v>0</v>
      </c>
    </row>
    <row r="683" ht="12.75">
      <c r="M683" s="61">
        <f>+'Personel Listesi'!C603</f>
        <v>0</v>
      </c>
    </row>
    <row r="684" ht="12.75">
      <c r="M684" s="61">
        <f>+'Personel Listesi'!C604</f>
        <v>0</v>
      </c>
    </row>
    <row r="685" ht="12.75">
      <c r="M685" s="61">
        <f>+'Personel Listesi'!C605</f>
        <v>0</v>
      </c>
    </row>
    <row r="686" ht="12.75">
      <c r="M686" s="61">
        <f>+'Personel Listesi'!C606</f>
        <v>0</v>
      </c>
    </row>
    <row r="687" ht="12.75">
      <c r="M687" s="61">
        <f>+'Personel Listesi'!C607</f>
        <v>0</v>
      </c>
    </row>
    <row r="688" ht="12.75">
      <c r="M688" s="61">
        <f>+'Personel Listesi'!C608</f>
        <v>0</v>
      </c>
    </row>
    <row r="689" ht="12.75">
      <c r="M689" s="61">
        <f>+'Personel Listesi'!C609</f>
        <v>0</v>
      </c>
    </row>
    <row r="690" ht="12.75">
      <c r="M690" s="61">
        <f>+'Personel Listesi'!C610</f>
        <v>0</v>
      </c>
    </row>
    <row r="691" ht="12.75">
      <c r="M691" s="61">
        <f>+'Personel Listesi'!C611</f>
        <v>0</v>
      </c>
    </row>
    <row r="692" ht="12.75">
      <c r="M692" s="61">
        <f>+'Personel Listesi'!C612</f>
        <v>0</v>
      </c>
    </row>
    <row r="693" ht="12.75">
      <c r="M693" s="61">
        <f>+'Personel Listesi'!C613</f>
        <v>0</v>
      </c>
    </row>
    <row r="694" ht="12.75">
      <c r="M694" s="61">
        <f>+'Personel Listesi'!C614</f>
        <v>0</v>
      </c>
    </row>
    <row r="695" ht="12.75">
      <c r="M695" s="61">
        <f>+'Personel Listesi'!C615</f>
        <v>0</v>
      </c>
    </row>
    <row r="696" ht="12.75">
      <c r="M696" s="61">
        <f>+'Personel Listesi'!C616</f>
        <v>0</v>
      </c>
    </row>
    <row r="697" ht="12.75">
      <c r="M697" s="61">
        <f>+'Personel Listesi'!C617</f>
        <v>0</v>
      </c>
    </row>
    <row r="698" ht="12.75">
      <c r="M698" s="61">
        <f>+'Personel Listesi'!C618</f>
        <v>0</v>
      </c>
    </row>
    <row r="699" ht="12.75">
      <c r="M699" s="61">
        <f>+'Personel Listesi'!C619</f>
        <v>0</v>
      </c>
    </row>
    <row r="700" ht="12.75">
      <c r="M700" s="61">
        <f>+'Personel Listesi'!C620</f>
        <v>0</v>
      </c>
    </row>
    <row r="701" ht="12.75">
      <c r="M701" s="61">
        <f>+'Personel Listesi'!C621</f>
        <v>0</v>
      </c>
    </row>
    <row r="702" ht="12.75">
      <c r="M702" s="61">
        <f>+'Personel Listesi'!C622</f>
        <v>0</v>
      </c>
    </row>
    <row r="703" ht="12.75">
      <c r="M703" s="61">
        <f>+'Personel Listesi'!C623</f>
        <v>0</v>
      </c>
    </row>
    <row r="704" ht="12.75">
      <c r="M704" s="61">
        <f>+'Personel Listesi'!C624</f>
        <v>0</v>
      </c>
    </row>
    <row r="705" ht="12.75">
      <c r="M705" s="61">
        <f>+'Personel Listesi'!C625</f>
        <v>0</v>
      </c>
    </row>
    <row r="706" ht="12.75">
      <c r="M706" s="61">
        <f>+'Personel Listesi'!C626</f>
        <v>0</v>
      </c>
    </row>
    <row r="707" ht="12.75">
      <c r="M707" s="61">
        <f>+'Personel Listesi'!C627</f>
        <v>0</v>
      </c>
    </row>
    <row r="708" ht="12.75">
      <c r="M708" s="61">
        <f>+'Personel Listesi'!C628</f>
        <v>0</v>
      </c>
    </row>
    <row r="709" ht="12.75">
      <c r="M709" s="61">
        <f>+'Personel Listesi'!C629</f>
        <v>0</v>
      </c>
    </row>
    <row r="710" ht="12.75">
      <c r="M710" s="61">
        <f>+'Personel Listesi'!C630</f>
        <v>0</v>
      </c>
    </row>
    <row r="711" ht="12.75">
      <c r="M711" s="61">
        <f>+'Personel Listesi'!C631</f>
        <v>0</v>
      </c>
    </row>
    <row r="712" ht="12.75">
      <c r="M712" s="61">
        <f>+'Personel Listesi'!C632</f>
        <v>0</v>
      </c>
    </row>
    <row r="713" ht="12.75">
      <c r="M713" s="61">
        <f>+'Personel Listesi'!C633</f>
        <v>0</v>
      </c>
    </row>
    <row r="714" ht="12.75">
      <c r="M714" s="61">
        <f>+'Personel Listesi'!C634</f>
        <v>0</v>
      </c>
    </row>
    <row r="715" ht="12.75">
      <c r="M715" s="61">
        <f>+'Personel Listesi'!C635</f>
        <v>0</v>
      </c>
    </row>
    <row r="716" ht="12.75">
      <c r="M716" s="61">
        <f>+'Personel Listesi'!C636</f>
        <v>0</v>
      </c>
    </row>
    <row r="717" ht="12.75">
      <c r="M717" s="61">
        <f>+'Personel Listesi'!C637</f>
        <v>0</v>
      </c>
    </row>
    <row r="718" ht="12.75">
      <c r="M718" s="61">
        <f>+'Personel Listesi'!C638</f>
        <v>0</v>
      </c>
    </row>
    <row r="719" ht="12.75">
      <c r="M719" s="61">
        <f>+'Personel Listesi'!C639</f>
        <v>0</v>
      </c>
    </row>
    <row r="720" ht="12.75">
      <c r="M720" s="61">
        <f>+'Personel Listesi'!C640</f>
        <v>0</v>
      </c>
    </row>
    <row r="721" ht="12.75">
      <c r="M721" s="61">
        <f>+'Personel Listesi'!C641</f>
        <v>0</v>
      </c>
    </row>
    <row r="722" ht="12.75">
      <c r="M722" s="61">
        <f>+'Personel Listesi'!C642</f>
        <v>0</v>
      </c>
    </row>
    <row r="723" ht="12.75">
      <c r="M723" s="61">
        <f>+'Personel Listesi'!C643</f>
        <v>0</v>
      </c>
    </row>
    <row r="724" ht="12.75">
      <c r="M724" s="61">
        <f>+'Personel Listesi'!C644</f>
        <v>0</v>
      </c>
    </row>
    <row r="725" ht="12.75">
      <c r="M725" s="61">
        <f>+'Personel Listesi'!C645</f>
        <v>0</v>
      </c>
    </row>
    <row r="726" ht="12.75">
      <c r="M726" s="61">
        <f>+'Personel Listesi'!C646</f>
        <v>0</v>
      </c>
    </row>
    <row r="727" ht="12.75">
      <c r="M727" s="61">
        <f>+'Personel Listesi'!C647</f>
        <v>0</v>
      </c>
    </row>
    <row r="728" ht="12.75">
      <c r="M728" s="61">
        <f>+'Personel Listesi'!C648</f>
        <v>0</v>
      </c>
    </row>
    <row r="729" ht="12.75">
      <c r="M729" s="61">
        <f>+'Personel Listesi'!C649</f>
        <v>0</v>
      </c>
    </row>
    <row r="730" ht="12.75">
      <c r="M730" s="61">
        <f>+'Personel Listesi'!C650</f>
        <v>0</v>
      </c>
    </row>
    <row r="731" ht="12.75">
      <c r="M731" s="61">
        <f>+'Personel Listesi'!C651</f>
        <v>0</v>
      </c>
    </row>
    <row r="732" ht="12.75">
      <c r="M732" s="61">
        <f>+'Personel Listesi'!C652</f>
        <v>0</v>
      </c>
    </row>
    <row r="733" ht="12.75">
      <c r="M733" s="61">
        <f>+'Personel Listesi'!C653</f>
        <v>0</v>
      </c>
    </row>
    <row r="734" ht="12.75">
      <c r="M734" s="61">
        <f>+'Personel Listesi'!C654</f>
        <v>0</v>
      </c>
    </row>
    <row r="735" ht="12.75">
      <c r="M735" s="61">
        <f>+'Personel Listesi'!C655</f>
        <v>0</v>
      </c>
    </row>
    <row r="736" ht="12.75">
      <c r="M736" s="61">
        <f>+'Personel Listesi'!C656</f>
        <v>0</v>
      </c>
    </row>
    <row r="737" ht="12.75">
      <c r="M737" s="61">
        <f>+'Personel Listesi'!C657</f>
        <v>0</v>
      </c>
    </row>
    <row r="738" ht="12.75">
      <c r="M738" s="61">
        <f>+'Personel Listesi'!C658</f>
        <v>0</v>
      </c>
    </row>
    <row r="739" ht="12.75">
      <c r="M739" s="61">
        <f>+'Personel Listesi'!C659</f>
        <v>0</v>
      </c>
    </row>
    <row r="740" ht="12.75">
      <c r="M740" s="61">
        <f>+'Personel Listesi'!C660</f>
        <v>0</v>
      </c>
    </row>
    <row r="741" ht="12.75">
      <c r="M741" s="61">
        <f>+'Personel Listesi'!C661</f>
        <v>0</v>
      </c>
    </row>
    <row r="742" ht="12.75">
      <c r="M742" s="61">
        <f>+'Personel Listesi'!C662</f>
        <v>0</v>
      </c>
    </row>
    <row r="743" ht="12.75">
      <c r="M743" s="61">
        <f>+'Personel Listesi'!C663</f>
        <v>0</v>
      </c>
    </row>
    <row r="744" ht="12.75">
      <c r="M744" s="61">
        <f>+'Personel Listesi'!C664</f>
        <v>0</v>
      </c>
    </row>
    <row r="745" ht="12.75">
      <c r="M745" s="61">
        <f>+'Personel Listesi'!C665</f>
        <v>0</v>
      </c>
    </row>
    <row r="746" ht="12.75">
      <c r="M746" s="61">
        <f>+'Personel Listesi'!C666</f>
        <v>0</v>
      </c>
    </row>
    <row r="747" ht="12.75">
      <c r="M747" s="61">
        <f>+'Personel Listesi'!C667</f>
        <v>0</v>
      </c>
    </row>
    <row r="748" ht="12.75">
      <c r="M748" s="61">
        <f>+'Personel Listesi'!C668</f>
        <v>0</v>
      </c>
    </row>
    <row r="749" ht="12.75">
      <c r="M749" s="61">
        <f>+'Personel Listesi'!C669</f>
        <v>0</v>
      </c>
    </row>
    <row r="750" ht="12.75">
      <c r="M750" s="61">
        <f>+'Personel Listesi'!C670</f>
        <v>0</v>
      </c>
    </row>
    <row r="751" ht="12.75">
      <c r="M751" s="61">
        <f>+'Personel Listesi'!C671</f>
        <v>0</v>
      </c>
    </row>
    <row r="752" ht="12.75">
      <c r="M752" s="61">
        <f>+'Personel Listesi'!C672</f>
        <v>0</v>
      </c>
    </row>
    <row r="753" ht="12.75">
      <c r="M753" s="61">
        <f>+'Personel Listesi'!C673</f>
        <v>0</v>
      </c>
    </row>
    <row r="754" ht="12.75">
      <c r="M754" s="61">
        <f>+'Personel Listesi'!C674</f>
        <v>0</v>
      </c>
    </row>
    <row r="755" ht="12.75">
      <c r="M755" s="61">
        <f>+'Personel Listesi'!C675</f>
        <v>0</v>
      </c>
    </row>
    <row r="756" ht="12.75">
      <c r="M756" s="61">
        <f>+'Personel Listesi'!C676</f>
        <v>0</v>
      </c>
    </row>
    <row r="757" ht="12.75">
      <c r="M757" s="61">
        <f>+'Personel Listesi'!C677</f>
        <v>0</v>
      </c>
    </row>
    <row r="758" ht="12.75">
      <c r="M758" s="61">
        <f>+'Personel Listesi'!C678</f>
        <v>0</v>
      </c>
    </row>
    <row r="759" ht="12.75">
      <c r="M759" s="61">
        <f>+'Personel Listesi'!C679</f>
        <v>0</v>
      </c>
    </row>
    <row r="760" ht="12.75">
      <c r="M760" s="61">
        <f>+'Personel Listesi'!C680</f>
        <v>0</v>
      </c>
    </row>
    <row r="761" ht="12.75">
      <c r="M761" s="61">
        <f>+'Personel Listesi'!C681</f>
        <v>0</v>
      </c>
    </row>
    <row r="762" ht="12.75">
      <c r="M762" s="61">
        <f>+'Personel Listesi'!C682</f>
        <v>0</v>
      </c>
    </row>
    <row r="763" ht="12.75">
      <c r="M763" s="61">
        <f>+'Personel Listesi'!C683</f>
        <v>0</v>
      </c>
    </row>
    <row r="764" ht="12.75">
      <c r="M764" s="61">
        <f>+'Personel Listesi'!C684</f>
        <v>0</v>
      </c>
    </row>
    <row r="765" ht="12.75">
      <c r="M765" s="61">
        <f>+'Personel Listesi'!C685</f>
        <v>0</v>
      </c>
    </row>
    <row r="766" ht="12.75">
      <c r="M766" s="61">
        <f>+'Personel Listesi'!C686</f>
        <v>0</v>
      </c>
    </row>
    <row r="767" ht="12.75">
      <c r="M767" s="61">
        <f>+'Personel Listesi'!C687</f>
        <v>0</v>
      </c>
    </row>
    <row r="768" ht="12.75">
      <c r="M768" s="61">
        <f>+'Personel Listesi'!C688</f>
        <v>0</v>
      </c>
    </row>
    <row r="769" ht="12.75">
      <c r="M769" s="61">
        <f>+'Personel Listesi'!C689</f>
        <v>0</v>
      </c>
    </row>
    <row r="770" ht="12.75">
      <c r="M770" s="61">
        <f>+'Personel Listesi'!C690</f>
        <v>0</v>
      </c>
    </row>
    <row r="771" ht="12.75">
      <c r="M771" s="61">
        <f>+'Personel Listesi'!C691</f>
        <v>0</v>
      </c>
    </row>
    <row r="772" ht="12.75">
      <c r="M772" s="61">
        <f>+'Personel Listesi'!C692</f>
        <v>0</v>
      </c>
    </row>
    <row r="773" ht="12.75">
      <c r="M773" s="61">
        <f>+'Personel Listesi'!C693</f>
        <v>0</v>
      </c>
    </row>
    <row r="774" ht="12.75">
      <c r="M774" s="61">
        <f>+'Personel Listesi'!C694</f>
        <v>0</v>
      </c>
    </row>
    <row r="775" ht="12.75">
      <c r="M775" s="61">
        <f>+'Personel Listesi'!C695</f>
        <v>0</v>
      </c>
    </row>
    <row r="776" ht="12.75">
      <c r="M776" s="61">
        <f>+'Personel Listesi'!C696</f>
        <v>0</v>
      </c>
    </row>
    <row r="777" ht="12.75">
      <c r="M777" s="61">
        <f>+'Personel Listesi'!C697</f>
        <v>0</v>
      </c>
    </row>
    <row r="778" ht="12.75">
      <c r="M778" s="61">
        <f>+'Personel Listesi'!C698</f>
        <v>0</v>
      </c>
    </row>
    <row r="779" ht="12.75">
      <c r="M779" s="61">
        <f>+'Personel Listesi'!C699</f>
        <v>0</v>
      </c>
    </row>
    <row r="780" ht="12.75">
      <c r="M780" s="61">
        <f>+'Personel Listesi'!C700</f>
        <v>0</v>
      </c>
    </row>
    <row r="781" ht="12.75">
      <c r="M781" s="61">
        <f>+'Personel Listesi'!C701</f>
        <v>0</v>
      </c>
    </row>
    <row r="782" ht="12.75">
      <c r="M782" s="61">
        <f>+'Personel Listesi'!C702</f>
        <v>0</v>
      </c>
    </row>
    <row r="783" ht="12.75">
      <c r="M783" s="61">
        <f>+'Personel Listesi'!C703</f>
        <v>0</v>
      </c>
    </row>
    <row r="784" ht="12.75">
      <c r="M784" s="61">
        <f>+'Personel Listesi'!C704</f>
        <v>0</v>
      </c>
    </row>
    <row r="785" ht="12.75">
      <c r="M785" s="61">
        <f>+'Personel Listesi'!C705</f>
        <v>0</v>
      </c>
    </row>
    <row r="786" ht="12.75">
      <c r="M786" s="61">
        <f>+'Personel Listesi'!C706</f>
        <v>0</v>
      </c>
    </row>
    <row r="787" ht="12.75">
      <c r="M787" s="61">
        <f>+'Personel Listesi'!C707</f>
        <v>0</v>
      </c>
    </row>
    <row r="788" ht="12.75">
      <c r="M788" s="61">
        <f>+'Personel Listesi'!C708</f>
        <v>0</v>
      </c>
    </row>
    <row r="789" ht="12.75">
      <c r="M789" s="61">
        <f>+'Personel Listesi'!C709</f>
        <v>0</v>
      </c>
    </row>
    <row r="790" ht="12.75">
      <c r="M790" s="61">
        <f>+'Personel Listesi'!C710</f>
        <v>0</v>
      </c>
    </row>
    <row r="791" ht="12.75">
      <c r="M791" s="61">
        <f>+'Personel Listesi'!C711</f>
        <v>0</v>
      </c>
    </row>
    <row r="792" ht="12.75">
      <c r="M792" s="61">
        <f>+'Personel Listesi'!C712</f>
        <v>0</v>
      </c>
    </row>
    <row r="793" ht="12.75">
      <c r="M793" s="61">
        <f>+'Personel Listesi'!C713</f>
        <v>0</v>
      </c>
    </row>
    <row r="794" ht="12.75">
      <c r="M794" s="61">
        <f>+'Personel Listesi'!C714</f>
        <v>0</v>
      </c>
    </row>
    <row r="795" ht="12.75">
      <c r="M795" s="61">
        <f>+'Personel Listesi'!C715</f>
        <v>0</v>
      </c>
    </row>
    <row r="796" ht="12.75">
      <c r="M796" s="61">
        <f>+'Personel Listesi'!C716</f>
        <v>0</v>
      </c>
    </row>
    <row r="797" ht="12.75">
      <c r="M797" s="61">
        <f>+'Personel Listesi'!C717</f>
        <v>0</v>
      </c>
    </row>
    <row r="798" ht="12.75">
      <c r="M798" s="61">
        <f>+'Personel Listesi'!C718</f>
        <v>0</v>
      </c>
    </row>
    <row r="799" ht="12.75">
      <c r="M799" s="61">
        <f>+'Personel Listesi'!C719</f>
        <v>0</v>
      </c>
    </row>
    <row r="800" ht="12.75">
      <c r="M800" s="61">
        <f>+'Personel Listesi'!C720</f>
        <v>0</v>
      </c>
    </row>
    <row r="801" ht="12.75">
      <c r="M801" s="61">
        <f>+'Personel Listesi'!C721</f>
        <v>0</v>
      </c>
    </row>
    <row r="802" ht="12.75">
      <c r="M802" s="61">
        <f>+'Personel Listesi'!C722</f>
        <v>0</v>
      </c>
    </row>
    <row r="803" ht="12.75">
      <c r="M803" s="61">
        <f>+'Personel Listesi'!C723</f>
        <v>0</v>
      </c>
    </row>
    <row r="804" ht="12.75">
      <c r="M804" s="61">
        <f>+'Personel Listesi'!C724</f>
        <v>0</v>
      </c>
    </row>
    <row r="805" ht="12.75">
      <c r="M805" s="61">
        <f>+'Personel Listesi'!C725</f>
        <v>0</v>
      </c>
    </row>
    <row r="806" ht="12.75">
      <c r="M806" s="61">
        <f>+'Personel Listesi'!C726</f>
        <v>0</v>
      </c>
    </row>
    <row r="807" ht="12.75">
      <c r="M807" s="61">
        <f>+'Personel Listesi'!C727</f>
        <v>0</v>
      </c>
    </row>
    <row r="808" ht="12.75">
      <c r="M808" s="61">
        <f>+'Personel Listesi'!C728</f>
        <v>0</v>
      </c>
    </row>
    <row r="809" ht="12.75">
      <c r="M809" s="61">
        <f>+'Personel Listesi'!C729</f>
        <v>0</v>
      </c>
    </row>
    <row r="810" ht="12.75">
      <c r="M810" s="61">
        <f>+'Personel Listesi'!C730</f>
        <v>0</v>
      </c>
    </row>
    <row r="811" ht="12.75">
      <c r="M811" s="61">
        <f>+'Personel Listesi'!C731</f>
        <v>0</v>
      </c>
    </row>
    <row r="812" ht="12.75">
      <c r="M812" s="61">
        <f>+'Personel Listesi'!C732</f>
        <v>0</v>
      </c>
    </row>
    <row r="813" ht="12.75">
      <c r="M813" s="61">
        <f>+'Personel Listesi'!C733</f>
        <v>0</v>
      </c>
    </row>
    <row r="814" ht="12.75">
      <c r="M814" s="61">
        <f>+'Personel Listesi'!C734</f>
        <v>0</v>
      </c>
    </row>
    <row r="815" ht="12.75">
      <c r="M815" s="61">
        <f>+'Personel Listesi'!C735</f>
        <v>0</v>
      </c>
    </row>
    <row r="816" ht="12.75">
      <c r="M816" s="61">
        <f>+'Personel Listesi'!C736</f>
        <v>0</v>
      </c>
    </row>
    <row r="817" ht="12.75">
      <c r="M817" s="61">
        <f>+'Personel Listesi'!C737</f>
        <v>0</v>
      </c>
    </row>
    <row r="818" ht="12.75">
      <c r="M818" s="61">
        <f>+'Personel Listesi'!C738</f>
        <v>0</v>
      </c>
    </row>
    <row r="819" ht="12.75">
      <c r="M819" s="61">
        <f>+'Personel Listesi'!C739</f>
        <v>0</v>
      </c>
    </row>
    <row r="820" ht="12.75">
      <c r="M820" s="61">
        <f>+'Personel Listesi'!C740</f>
        <v>0</v>
      </c>
    </row>
    <row r="821" ht="12.75">
      <c r="M821" s="61">
        <f>+'Personel Listesi'!C741</f>
        <v>0</v>
      </c>
    </row>
    <row r="822" ht="12.75">
      <c r="M822" s="61">
        <f>+'Personel Listesi'!C742</f>
        <v>0</v>
      </c>
    </row>
    <row r="823" ht="12.75">
      <c r="M823" s="61">
        <f>+'Personel Listesi'!C743</f>
        <v>0</v>
      </c>
    </row>
    <row r="824" ht="12.75">
      <c r="M824" s="61">
        <f>+'Personel Listesi'!C744</f>
        <v>0</v>
      </c>
    </row>
    <row r="825" ht="12.75">
      <c r="M825" s="61">
        <f>+'Personel Listesi'!C745</f>
        <v>0</v>
      </c>
    </row>
    <row r="826" ht="12.75">
      <c r="M826" s="61">
        <f>+'Personel Listesi'!C746</f>
        <v>0</v>
      </c>
    </row>
    <row r="827" ht="12.75">
      <c r="M827" s="61">
        <f>+'Personel Listesi'!C747</f>
        <v>0</v>
      </c>
    </row>
    <row r="828" ht="12.75">
      <c r="M828" s="61">
        <f>+'Personel Listesi'!C748</f>
        <v>0</v>
      </c>
    </row>
    <row r="829" ht="12.75">
      <c r="M829" s="61">
        <f>+'Personel Listesi'!C749</f>
        <v>0</v>
      </c>
    </row>
    <row r="830" ht="12.75">
      <c r="M830" s="61">
        <f>+'Personel Listesi'!C750</f>
        <v>0</v>
      </c>
    </row>
    <row r="831" ht="12.75">
      <c r="M831" s="61">
        <f>+'Personel Listesi'!C751</f>
        <v>0</v>
      </c>
    </row>
    <row r="832" ht="12.75">
      <c r="M832" s="61">
        <f>+'Personel Listesi'!C752</f>
        <v>0</v>
      </c>
    </row>
    <row r="833" ht="12.75">
      <c r="M833" s="61">
        <f>+'Personel Listesi'!C753</f>
        <v>0</v>
      </c>
    </row>
    <row r="834" ht="12.75">
      <c r="M834" s="61">
        <f>+'Personel Listesi'!C754</f>
        <v>0</v>
      </c>
    </row>
    <row r="835" ht="12.75">
      <c r="M835" s="61">
        <f>+'Personel Listesi'!C755</f>
        <v>0</v>
      </c>
    </row>
    <row r="836" ht="12.75">
      <c r="M836" s="61">
        <f>+'Personel Listesi'!C756</f>
        <v>0</v>
      </c>
    </row>
    <row r="837" ht="12.75">
      <c r="M837" s="61">
        <f>+'Personel Listesi'!C757</f>
        <v>0</v>
      </c>
    </row>
    <row r="838" ht="12.75">
      <c r="M838" s="61">
        <f>+'Personel Listesi'!C758</f>
        <v>0</v>
      </c>
    </row>
    <row r="839" ht="12.75">
      <c r="M839" s="61">
        <f>+'Personel Listesi'!C759</f>
        <v>0</v>
      </c>
    </row>
    <row r="840" ht="12.75">
      <c r="M840" s="61">
        <f>+'Personel Listesi'!C760</f>
        <v>0</v>
      </c>
    </row>
    <row r="841" ht="12.75">
      <c r="M841" s="61">
        <f>+'Personel Listesi'!C761</f>
        <v>0</v>
      </c>
    </row>
    <row r="842" ht="12.75">
      <c r="M842" s="61">
        <f>+'Personel Listesi'!C762</f>
        <v>0</v>
      </c>
    </row>
    <row r="843" ht="12.75">
      <c r="M843" s="61">
        <f>+'Personel Listesi'!C763</f>
        <v>0</v>
      </c>
    </row>
    <row r="844" ht="12.75">
      <c r="M844" s="61">
        <f>+'Personel Listesi'!C764</f>
        <v>0</v>
      </c>
    </row>
    <row r="845" ht="12.75">
      <c r="M845" s="61">
        <f>+'Personel Listesi'!C765</f>
        <v>0</v>
      </c>
    </row>
    <row r="846" ht="12.75">
      <c r="M846" s="61">
        <f>+'Personel Listesi'!C766</f>
        <v>0</v>
      </c>
    </row>
    <row r="847" ht="12.75">
      <c r="M847" s="61">
        <f>+'Personel Listesi'!C767</f>
        <v>0</v>
      </c>
    </row>
    <row r="848" ht="12.75">
      <c r="M848" s="61">
        <f>+'Personel Listesi'!C768</f>
        <v>0</v>
      </c>
    </row>
    <row r="849" ht="12.75">
      <c r="M849" s="61">
        <f>+'Personel Listesi'!C769</f>
        <v>0</v>
      </c>
    </row>
    <row r="850" ht="12.75">
      <c r="M850" s="61">
        <f>+'Personel Listesi'!C770</f>
        <v>0</v>
      </c>
    </row>
    <row r="851" ht="12.75">
      <c r="M851" s="61">
        <f>+'Personel Listesi'!C771</f>
        <v>0</v>
      </c>
    </row>
    <row r="852" ht="12.75">
      <c r="M852" s="61">
        <f>+'Personel Listesi'!C772</f>
        <v>0</v>
      </c>
    </row>
    <row r="853" ht="12.75">
      <c r="M853" s="61">
        <f>+'Personel Listesi'!C773</f>
        <v>0</v>
      </c>
    </row>
    <row r="854" ht="12.75">
      <c r="M854" s="61">
        <f>+'Personel Listesi'!C774</f>
        <v>0</v>
      </c>
    </row>
    <row r="855" ht="12.75">
      <c r="M855" s="61">
        <f>+'Personel Listesi'!C775</f>
        <v>0</v>
      </c>
    </row>
    <row r="856" ht="12.75">
      <c r="M856" s="61">
        <f>+'Personel Listesi'!C776</f>
        <v>0</v>
      </c>
    </row>
    <row r="857" ht="12.75">
      <c r="M857" s="61">
        <f>+'Personel Listesi'!C777</f>
        <v>0</v>
      </c>
    </row>
    <row r="858" ht="12.75">
      <c r="M858" s="61">
        <f>+'Personel Listesi'!C778</f>
        <v>0</v>
      </c>
    </row>
    <row r="859" ht="12.75">
      <c r="M859" s="61">
        <f>+'Personel Listesi'!C779</f>
        <v>0</v>
      </c>
    </row>
    <row r="860" ht="12.75">
      <c r="M860" s="61">
        <f>+'Personel Listesi'!C780</f>
        <v>0</v>
      </c>
    </row>
    <row r="861" ht="12.75">
      <c r="M861" s="61">
        <f>+'Personel Listesi'!C781</f>
        <v>0</v>
      </c>
    </row>
    <row r="862" ht="12.75">
      <c r="M862" s="61">
        <f>+'Personel Listesi'!C782</f>
        <v>0</v>
      </c>
    </row>
    <row r="863" ht="12.75">
      <c r="M863" s="61">
        <f>+'Personel Listesi'!C783</f>
        <v>0</v>
      </c>
    </row>
    <row r="864" ht="12.75">
      <c r="M864" s="61">
        <f>+'Personel Listesi'!C784</f>
        <v>0</v>
      </c>
    </row>
    <row r="865" ht="12.75">
      <c r="M865" s="61">
        <f>+'Personel Listesi'!C785</f>
        <v>0</v>
      </c>
    </row>
    <row r="866" ht="12.75">
      <c r="M866" s="61">
        <f>+'Personel Listesi'!C786</f>
        <v>0</v>
      </c>
    </row>
    <row r="867" ht="12.75">
      <c r="M867" s="61">
        <f>+'Personel Listesi'!C787</f>
        <v>0</v>
      </c>
    </row>
    <row r="868" ht="12.75">
      <c r="M868" s="61">
        <f>+'Personel Listesi'!C788</f>
        <v>0</v>
      </c>
    </row>
    <row r="869" ht="12.75">
      <c r="M869" s="61">
        <f>+'Personel Listesi'!C789</f>
        <v>0</v>
      </c>
    </row>
    <row r="870" ht="12.75">
      <c r="M870" s="61">
        <f>+'Personel Listesi'!C790</f>
        <v>0</v>
      </c>
    </row>
    <row r="871" ht="12.75">
      <c r="M871" s="61">
        <f>+'Personel Listesi'!C791</f>
        <v>0</v>
      </c>
    </row>
    <row r="872" ht="12.75">
      <c r="M872" s="61">
        <f>+'Personel Listesi'!C792</f>
        <v>0</v>
      </c>
    </row>
    <row r="873" ht="12.75">
      <c r="M873" s="61">
        <f>+'Personel Listesi'!C793</f>
        <v>0</v>
      </c>
    </row>
    <row r="874" ht="12.75">
      <c r="M874" s="61">
        <f>+'Personel Listesi'!C794</f>
        <v>0</v>
      </c>
    </row>
    <row r="875" ht="12.75">
      <c r="M875" s="61">
        <f>+'Personel Listesi'!C795</f>
        <v>0</v>
      </c>
    </row>
    <row r="876" ht="12.75">
      <c r="M876" s="61">
        <f>+'Personel Listesi'!C796</f>
        <v>0</v>
      </c>
    </row>
    <row r="877" ht="12.75">
      <c r="M877" s="61">
        <f>+'Personel Listesi'!C797</f>
        <v>0</v>
      </c>
    </row>
    <row r="878" ht="12.75">
      <c r="M878" s="61">
        <f>+'Personel Listesi'!C798</f>
        <v>0</v>
      </c>
    </row>
    <row r="879" ht="12.75">
      <c r="M879" s="61">
        <f>+'Personel Listesi'!C799</f>
        <v>0</v>
      </c>
    </row>
    <row r="880" ht="12.75">
      <c r="M880" s="61">
        <f>+'Personel Listesi'!C800</f>
        <v>0</v>
      </c>
    </row>
    <row r="881" ht="12.75">
      <c r="M881" s="61">
        <f>+'Personel Listesi'!C801</f>
        <v>0</v>
      </c>
    </row>
    <row r="882" ht="12.75">
      <c r="M882" s="61">
        <f>+'Personel Listesi'!C802</f>
        <v>0</v>
      </c>
    </row>
    <row r="883" ht="12.75">
      <c r="M883" s="61">
        <f>+'Personel Listesi'!C803</f>
        <v>0</v>
      </c>
    </row>
    <row r="884" ht="12.75">
      <c r="M884" s="61">
        <f>+'Personel Listesi'!C804</f>
        <v>0</v>
      </c>
    </row>
    <row r="885" ht="12.75">
      <c r="M885" s="61">
        <f>+'Personel Listesi'!C805</f>
        <v>0</v>
      </c>
    </row>
    <row r="886" ht="12.75">
      <c r="M886" s="61">
        <f>+'Personel Listesi'!C806</f>
        <v>0</v>
      </c>
    </row>
    <row r="887" ht="12.75">
      <c r="M887" s="61">
        <f>+'Personel Listesi'!C807</f>
        <v>0</v>
      </c>
    </row>
    <row r="888" ht="12.75">
      <c r="M888" s="61">
        <f>+'Personel Listesi'!C808</f>
        <v>0</v>
      </c>
    </row>
    <row r="889" ht="12.75">
      <c r="M889" s="61">
        <f>+'Personel Listesi'!C809</f>
        <v>0</v>
      </c>
    </row>
    <row r="890" ht="12.75">
      <c r="M890" s="61">
        <f>+'Personel Listesi'!C810</f>
        <v>0</v>
      </c>
    </row>
    <row r="891" ht="12.75">
      <c r="M891" s="61">
        <f>+'Personel Listesi'!C811</f>
        <v>0</v>
      </c>
    </row>
    <row r="892" ht="12.75">
      <c r="M892" s="61">
        <f>+'Personel Listesi'!C812</f>
        <v>0</v>
      </c>
    </row>
    <row r="893" ht="12.75">
      <c r="M893" s="61">
        <f>+'Personel Listesi'!C813</f>
        <v>0</v>
      </c>
    </row>
    <row r="894" ht="12.75">
      <c r="M894" s="61">
        <f>+'Personel Listesi'!C814</f>
        <v>0</v>
      </c>
    </row>
    <row r="895" ht="12.75">
      <c r="M895" s="61">
        <f>+'Personel Listesi'!C815</f>
        <v>0</v>
      </c>
    </row>
    <row r="896" ht="12.75">
      <c r="M896" s="61">
        <f>+'Personel Listesi'!C816</f>
        <v>0</v>
      </c>
    </row>
    <row r="897" ht="12.75">
      <c r="M897" s="61">
        <f>+'Personel Listesi'!C817</f>
        <v>0</v>
      </c>
    </row>
    <row r="898" ht="12.75">
      <c r="M898" s="61">
        <f>+'Personel Listesi'!C818</f>
        <v>0</v>
      </c>
    </row>
    <row r="899" ht="12.75">
      <c r="M899" s="61">
        <f>+'Personel Listesi'!C819</f>
        <v>0</v>
      </c>
    </row>
    <row r="900" ht="12.75">
      <c r="M900" s="61">
        <f>+'Personel Listesi'!C820</f>
        <v>0</v>
      </c>
    </row>
    <row r="901" ht="12.75">
      <c r="M901" s="61">
        <f>+'Personel Listesi'!C821</f>
        <v>0</v>
      </c>
    </row>
    <row r="902" ht="12.75">
      <c r="M902" s="61">
        <f>+'Personel Listesi'!C822</f>
        <v>0</v>
      </c>
    </row>
    <row r="903" ht="12.75">
      <c r="M903" s="61">
        <f>+'Personel Listesi'!C823</f>
        <v>0</v>
      </c>
    </row>
    <row r="904" ht="12.75">
      <c r="M904" s="61">
        <f>+'Personel Listesi'!C824</f>
        <v>0</v>
      </c>
    </row>
    <row r="905" ht="12.75">
      <c r="M905" s="61">
        <f>+'Personel Listesi'!C825</f>
        <v>0</v>
      </c>
    </row>
    <row r="906" ht="12.75">
      <c r="M906" s="61">
        <f>+'Personel Listesi'!C826</f>
        <v>0</v>
      </c>
    </row>
    <row r="907" ht="12.75">
      <c r="M907" s="61">
        <f>+'Personel Listesi'!C827</f>
        <v>0</v>
      </c>
    </row>
    <row r="908" ht="12.75">
      <c r="M908" s="61">
        <f>+'Personel Listesi'!C828</f>
        <v>0</v>
      </c>
    </row>
    <row r="909" ht="12.75">
      <c r="M909" s="61">
        <f>+'Personel Listesi'!C829</f>
        <v>0</v>
      </c>
    </row>
    <row r="910" ht="12.75">
      <c r="M910" s="61">
        <f>+'Personel Listesi'!C830</f>
        <v>0</v>
      </c>
    </row>
    <row r="911" ht="12.75">
      <c r="M911" s="61">
        <f>+'Personel Listesi'!C831</f>
        <v>0</v>
      </c>
    </row>
    <row r="912" ht="12.75">
      <c r="M912" s="61">
        <f>+'Personel Listesi'!C832</f>
        <v>0</v>
      </c>
    </row>
    <row r="913" ht="12.75">
      <c r="M913" s="61">
        <f>+'Personel Listesi'!C833</f>
        <v>0</v>
      </c>
    </row>
    <row r="914" ht="12.75">
      <c r="M914" s="61">
        <f>+'Personel Listesi'!C834</f>
        <v>0</v>
      </c>
    </row>
    <row r="915" ht="12.75">
      <c r="M915" s="61">
        <f>+'Personel Listesi'!C835</f>
        <v>0</v>
      </c>
    </row>
    <row r="916" ht="12.75">
      <c r="M916" s="61">
        <f>+'Personel Listesi'!C836</f>
        <v>0</v>
      </c>
    </row>
    <row r="917" ht="12.75">
      <c r="M917" s="61">
        <f>+'Personel Listesi'!C837</f>
        <v>0</v>
      </c>
    </row>
    <row r="918" ht="12.75">
      <c r="M918" s="61">
        <f>+'Personel Listesi'!C838</f>
        <v>0</v>
      </c>
    </row>
    <row r="919" ht="12.75">
      <c r="M919" s="61">
        <f>+'Personel Listesi'!C839</f>
        <v>0</v>
      </c>
    </row>
    <row r="920" ht="12.75">
      <c r="M920" s="61">
        <f>+'Personel Listesi'!C840</f>
        <v>0</v>
      </c>
    </row>
    <row r="921" ht="12.75">
      <c r="M921" s="61">
        <f>+'Personel Listesi'!C841</f>
        <v>0</v>
      </c>
    </row>
    <row r="922" ht="12.75">
      <c r="M922" s="61">
        <f>+'Personel Listesi'!C842</f>
        <v>0</v>
      </c>
    </row>
    <row r="923" ht="12.75">
      <c r="M923" s="61">
        <f>+'Personel Listesi'!C843</f>
        <v>0</v>
      </c>
    </row>
    <row r="924" ht="12.75">
      <c r="M924" s="61">
        <f>+'Personel Listesi'!C844</f>
        <v>0</v>
      </c>
    </row>
    <row r="925" ht="12.75">
      <c r="M925" s="61">
        <f>+'Personel Listesi'!C845</f>
        <v>0</v>
      </c>
    </row>
    <row r="926" ht="12.75">
      <c r="M926" s="61">
        <f>+'Personel Listesi'!C846</f>
        <v>0</v>
      </c>
    </row>
    <row r="927" ht="12.75">
      <c r="M927" s="61">
        <f>+'Personel Listesi'!C847</f>
        <v>0</v>
      </c>
    </row>
    <row r="928" ht="12.75">
      <c r="M928" s="61">
        <f>+'Personel Listesi'!C848</f>
        <v>0</v>
      </c>
    </row>
    <row r="929" ht="12.75">
      <c r="M929" s="61">
        <f>+'Personel Listesi'!C849</f>
        <v>0</v>
      </c>
    </row>
    <row r="930" ht="12.75">
      <c r="M930" s="61">
        <f>+'Personel Listesi'!C850</f>
        <v>0</v>
      </c>
    </row>
    <row r="931" ht="12.75">
      <c r="M931" s="61">
        <f>+'Personel Listesi'!C851</f>
        <v>0</v>
      </c>
    </row>
    <row r="932" ht="12.75">
      <c r="M932" s="61">
        <f>+'Personel Listesi'!C852</f>
        <v>0</v>
      </c>
    </row>
    <row r="933" ht="12.75">
      <c r="M933" s="61">
        <f>+'Personel Listesi'!C853</f>
        <v>0</v>
      </c>
    </row>
    <row r="934" ht="12.75">
      <c r="M934" s="61">
        <f>+'Personel Listesi'!C854</f>
        <v>0</v>
      </c>
    </row>
    <row r="935" ht="12.75">
      <c r="M935" s="61">
        <f>+'Personel Listesi'!C855</f>
        <v>0</v>
      </c>
    </row>
    <row r="936" ht="12.75">
      <c r="M936" s="61">
        <f>+'Personel Listesi'!C856</f>
        <v>0</v>
      </c>
    </row>
    <row r="937" ht="12.75">
      <c r="M937" s="61">
        <f>+'Personel Listesi'!C857</f>
        <v>0</v>
      </c>
    </row>
    <row r="938" ht="12.75">
      <c r="M938" s="61">
        <f>+'Personel Listesi'!C858</f>
        <v>0</v>
      </c>
    </row>
    <row r="939" ht="12.75">
      <c r="M939" s="61">
        <f>+'Personel Listesi'!C859</f>
        <v>0</v>
      </c>
    </row>
    <row r="940" ht="12.75">
      <c r="M940" s="61">
        <f>+'Personel Listesi'!C860</f>
        <v>0</v>
      </c>
    </row>
    <row r="941" ht="12.75">
      <c r="M941" s="61">
        <f>+'Personel Listesi'!C861</f>
        <v>0</v>
      </c>
    </row>
    <row r="942" ht="12.75">
      <c r="M942" s="61">
        <f>+'Personel Listesi'!C862</f>
        <v>0</v>
      </c>
    </row>
    <row r="943" ht="12.75">
      <c r="M943" s="61">
        <f>+'Personel Listesi'!C863</f>
        <v>0</v>
      </c>
    </row>
    <row r="944" ht="12.75">
      <c r="M944" s="61">
        <f>+'Personel Listesi'!C864</f>
        <v>0</v>
      </c>
    </row>
    <row r="945" ht="12.75">
      <c r="M945" s="61">
        <f>+'Personel Listesi'!C865</f>
        <v>0</v>
      </c>
    </row>
    <row r="946" ht="12.75">
      <c r="M946" s="61">
        <f>+'Personel Listesi'!C866</f>
        <v>0</v>
      </c>
    </row>
    <row r="947" ht="12.75">
      <c r="M947" s="61">
        <f>+'Personel Listesi'!C867</f>
        <v>0</v>
      </c>
    </row>
    <row r="948" ht="12.75">
      <c r="M948" s="61">
        <f>+'Personel Listesi'!C868</f>
        <v>0</v>
      </c>
    </row>
    <row r="949" ht="12.75">
      <c r="M949" s="61">
        <f>+'Personel Listesi'!C869</f>
        <v>0</v>
      </c>
    </row>
    <row r="950" ht="12.75">
      <c r="M950" s="61">
        <f>+'Personel Listesi'!C870</f>
        <v>0</v>
      </c>
    </row>
    <row r="951" ht="12.75">
      <c r="M951" s="61">
        <f>+'Personel Listesi'!C871</f>
        <v>0</v>
      </c>
    </row>
    <row r="952" ht="12.75">
      <c r="M952" s="61">
        <f>+'Personel Listesi'!C872</f>
        <v>0</v>
      </c>
    </row>
    <row r="953" ht="12.75">
      <c r="M953" s="61">
        <f>+'Personel Listesi'!C873</f>
        <v>0</v>
      </c>
    </row>
    <row r="954" ht="12.75">
      <c r="M954" s="61">
        <f>+'Personel Listesi'!C874</f>
        <v>0</v>
      </c>
    </row>
    <row r="955" ht="12.75">
      <c r="M955" s="61">
        <f>+'Personel Listesi'!C875</f>
        <v>0</v>
      </c>
    </row>
    <row r="956" ht="12.75">
      <c r="M956" s="61">
        <f>+'Personel Listesi'!C876</f>
        <v>0</v>
      </c>
    </row>
    <row r="957" ht="12.75">
      <c r="M957" s="61">
        <f>+'Personel Listesi'!C877</f>
        <v>0</v>
      </c>
    </row>
    <row r="958" ht="12.75">
      <c r="M958" s="61">
        <f>+'Personel Listesi'!C878</f>
        <v>0</v>
      </c>
    </row>
    <row r="959" ht="12.75">
      <c r="M959" s="61">
        <f>+'Personel Listesi'!C879</f>
        <v>0</v>
      </c>
    </row>
    <row r="960" ht="12.75">
      <c r="M960" s="61">
        <f>+'Personel Listesi'!C880</f>
        <v>0</v>
      </c>
    </row>
    <row r="961" ht="12.75">
      <c r="M961" s="61">
        <f>+'Personel Listesi'!C881</f>
        <v>0</v>
      </c>
    </row>
    <row r="962" ht="12.75">
      <c r="M962" s="61">
        <f>+'Personel Listesi'!C882</f>
        <v>0</v>
      </c>
    </row>
    <row r="963" ht="12.75">
      <c r="M963" s="61">
        <f>+'Personel Listesi'!C883</f>
        <v>0</v>
      </c>
    </row>
    <row r="964" ht="12.75">
      <c r="M964" s="61">
        <f>+'Personel Listesi'!C884</f>
        <v>0</v>
      </c>
    </row>
    <row r="965" ht="12.75">
      <c r="M965" s="61">
        <f>+'Personel Listesi'!C885</f>
        <v>0</v>
      </c>
    </row>
    <row r="966" ht="12.75">
      <c r="M966" s="61">
        <f>+'Personel Listesi'!C886</f>
        <v>0</v>
      </c>
    </row>
    <row r="967" ht="12.75">
      <c r="M967" s="61">
        <f>+'Personel Listesi'!C887</f>
        <v>0</v>
      </c>
    </row>
    <row r="968" ht="12.75">
      <c r="M968" s="61">
        <f>+'Personel Listesi'!C888</f>
        <v>0</v>
      </c>
    </row>
    <row r="969" ht="12.75">
      <c r="M969" s="61">
        <f>+'Personel Listesi'!C889</f>
        <v>0</v>
      </c>
    </row>
    <row r="970" ht="12.75">
      <c r="M970" s="61">
        <f>+'Personel Listesi'!C890</f>
        <v>0</v>
      </c>
    </row>
    <row r="971" ht="12.75">
      <c r="M971" s="61">
        <f>+'Personel Listesi'!C891</f>
        <v>0</v>
      </c>
    </row>
    <row r="972" ht="12.75">
      <c r="M972" s="61">
        <f>+'Personel Listesi'!C892</f>
        <v>0</v>
      </c>
    </row>
    <row r="973" ht="12.75">
      <c r="M973" s="61">
        <f>+'Personel Listesi'!C893</f>
        <v>0</v>
      </c>
    </row>
    <row r="974" ht="12.75">
      <c r="M974" s="61">
        <f>+'Personel Listesi'!C894</f>
        <v>0</v>
      </c>
    </row>
    <row r="975" ht="12.75">
      <c r="M975" s="61">
        <f>+'Personel Listesi'!C895</f>
        <v>0</v>
      </c>
    </row>
    <row r="976" ht="12.75">
      <c r="M976" s="61">
        <f>+'Personel Listesi'!C896</f>
        <v>0</v>
      </c>
    </row>
    <row r="977" ht="12.75">
      <c r="M977" s="61">
        <f>+'Personel Listesi'!C897</f>
        <v>0</v>
      </c>
    </row>
    <row r="978" ht="12.75">
      <c r="M978" s="61">
        <f>+'Personel Listesi'!C898</f>
        <v>0</v>
      </c>
    </row>
    <row r="979" ht="12.75">
      <c r="M979" s="61">
        <f>+'Personel Listesi'!C899</f>
        <v>0</v>
      </c>
    </row>
    <row r="980" ht="12.75">
      <c r="M980" s="61">
        <f>+'Personel Listesi'!C900</f>
        <v>0</v>
      </c>
    </row>
    <row r="981" ht="12.75">
      <c r="M981" s="61">
        <f>+'Personel Listesi'!C901</f>
        <v>0</v>
      </c>
    </row>
    <row r="982" ht="12.75">
      <c r="M982" s="61">
        <f>+'Personel Listesi'!C902</f>
        <v>0</v>
      </c>
    </row>
    <row r="983" ht="12.75">
      <c r="M983" s="61">
        <f>+'Personel Listesi'!C903</f>
        <v>0</v>
      </c>
    </row>
    <row r="984" ht="12.75">
      <c r="M984" s="61">
        <f>+'Personel Listesi'!C904</f>
        <v>0</v>
      </c>
    </row>
    <row r="985" ht="12.75">
      <c r="M985" s="61">
        <f>+'Personel Listesi'!C905</f>
        <v>0</v>
      </c>
    </row>
    <row r="986" ht="12.75">
      <c r="M986" s="61">
        <f>+'Personel Listesi'!C906</f>
        <v>0</v>
      </c>
    </row>
    <row r="987" ht="12.75">
      <c r="M987" s="61">
        <f>+'Personel Listesi'!C907</f>
        <v>0</v>
      </c>
    </row>
    <row r="988" ht="12.75">
      <c r="M988" s="61">
        <f>+'Personel Listesi'!C908</f>
        <v>0</v>
      </c>
    </row>
    <row r="989" ht="12.75">
      <c r="M989" s="61">
        <f>+'Personel Listesi'!C909</f>
        <v>0</v>
      </c>
    </row>
    <row r="990" ht="12.75">
      <c r="M990" s="61">
        <f>+'Personel Listesi'!C910</f>
        <v>0</v>
      </c>
    </row>
    <row r="991" ht="12.75">
      <c r="M991" s="61">
        <f>+'Personel Listesi'!C911</f>
        <v>0</v>
      </c>
    </row>
    <row r="992" ht="12.75">
      <c r="M992" s="61">
        <f>+'Personel Listesi'!C912</f>
        <v>0</v>
      </c>
    </row>
    <row r="993" ht="12.75">
      <c r="M993" s="61">
        <f>+'Personel Listesi'!C913</f>
        <v>0</v>
      </c>
    </row>
    <row r="994" ht="12.75">
      <c r="M994" s="61">
        <f>+'Personel Listesi'!C914</f>
        <v>0</v>
      </c>
    </row>
    <row r="995" ht="12.75">
      <c r="M995" s="61">
        <f>+'Personel Listesi'!C915</f>
        <v>0</v>
      </c>
    </row>
    <row r="996" ht="12.75">
      <c r="M996" s="61">
        <f>+'Personel Listesi'!C916</f>
        <v>0</v>
      </c>
    </row>
    <row r="997" ht="12.75">
      <c r="M997" s="61">
        <f>+'Personel Listesi'!C917</f>
        <v>0</v>
      </c>
    </row>
    <row r="998" ht="12.75">
      <c r="M998" s="61">
        <f>+'Personel Listesi'!C918</f>
        <v>0</v>
      </c>
    </row>
    <row r="999" ht="12.75">
      <c r="M999" s="61">
        <f>+'Personel Listesi'!C919</f>
        <v>0</v>
      </c>
    </row>
    <row r="1000" ht="12.75">
      <c r="M1000" s="61">
        <f>+'Personel Listesi'!C920</f>
        <v>0</v>
      </c>
    </row>
    <row r="1001" ht="12.75">
      <c r="M1001" s="61">
        <f>+'Personel Listesi'!C921</f>
        <v>0</v>
      </c>
    </row>
    <row r="1002" ht="12.75">
      <c r="M1002" s="61">
        <f>+'Personel Listesi'!C922</f>
        <v>0</v>
      </c>
    </row>
    <row r="1003" ht="12.75">
      <c r="M1003" s="61">
        <f>+'Personel Listesi'!C923</f>
        <v>0</v>
      </c>
    </row>
    <row r="1004" ht="12.75">
      <c r="M1004" s="61">
        <f>+'Personel Listesi'!C924</f>
        <v>0</v>
      </c>
    </row>
    <row r="1005" ht="12.75">
      <c r="M1005" s="61">
        <f>+'Personel Listesi'!C925</f>
        <v>0</v>
      </c>
    </row>
    <row r="1006" ht="12.75">
      <c r="M1006" s="61">
        <f>+'Personel Listesi'!C926</f>
        <v>0</v>
      </c>
    </row>
    <row r="1007" ht="12.75">
      <c r="M1007" s="61">
        <f>+'Personel Listesi'!C927</f>
        <v>0</v>
      </c>
    </row>
    <row r="1008" ht="12.75">
      <c r="M1008" s="61">
        <f>+'Personel Listesi'!C928</f>
        <v>0</v>
      </c>
    </row>
    <row r="1009" ht="12.75">
      <c r="M1009" s="61">
        <f>+'Personel Listesi'!C929</f>
        <v>0</v>
      </c>
    </row>
    <row r="1010" ht="12.75">
      <c r="M1010" s="61">
        <f>+'Personel Listesi'!C930</f>
        <v>0</v>
      </c>
    </row>
    <row r="1011" ht="12.75">
      <c r="M1011" s="61">
        <f>+'Personel Listesi'!C931</f>
        <v>0</v>
      </c>
    </row>
    <row r="1012" ht="12.75">
      <c r="M1012" s="61">
        <f>+'Personel Listesi'!C932</f>
        <v>0</v>
      </c>
    </row>
    <row r="1013" ht="12.75">
      <c r="M1013" s="61">
        <f>+'Personel Listesi'!C933</f>
        <v>0</v>
      </c>
    </row>
    <row r="1014" ht="12.75">
      <c r="M1014" s="61">
        <f>+'Personel Listesi'!C934</f>
        <v>0</v>
      </c>
    </row>
    <row r="1015" ht="12.75">
      <c r="M1015" s="61">
        <f>+'Personel Listesi'!C935</f>
        <v>0</v>
      </c>
    </row>
    <row r="1016" ht="12.75">
      <c r="M1016" s="61">
        <f>+'Personel Listesi'!C936</f>
        <v>0</v>
      </c>
    </row>
    <row r="1017" ht="12.75">
      <c r="M1017" s="61">
        <f>+'Personel Listesi'!C937</f>
        <v>0</v>
      </c>
    </row>
    <row r="1018" ht="12.75">
      <c r="M1018" s="61">
        <f>+'Personel Listesi'!C938</f>
        <v>0</v>
      </c>
    </row>
    <row r="1019" ht="12.75">
      <c r="M1019" s="61">
        <f>+'Personel Listesi'!C939</f>
        <v>0</v>
      </c>
    </row>
    <row r="1020" ht="12.75">
      <c r="M1020" s="61">
        <f>+'Personel Listesi'!C940</f>
        <v>0</v>
      </c>
    </row>
    <row r="1021" ht="12.75">
      <c r="M1021" s="61">
        <f>+'Personel Listesi'!C941</f>
        <v>0</v>
      </c>
    </row>
    <row r="1022" ht="12.75">
      <c r="M1022" s="61">
        <f>+'Personel Listesi'!C942</f>
        <v>0</v>
      </c>
    </row>
    <row r="1023" ht="12.75">
      <c r="M1023" s="61">
        <f>+'Personel Listesi'!C943</f>
        <v>0</v>
      </c>
    </row>
    <row r="1024" ht="12.75">
      <c r="M1024" s="61">
        <f>+'Personel Listesi'!C944</f>
        <v>0</v>
      </c>
    </row>
    <row r="1025" ht="12.75">
      <c r="M1025" s="61">
        <f>+'Personel Listesi'!C945</f>
        <v>0</v>
      </c>
    </row>
    <row r="1026" ht="12.75">
      <c r="M1026" s="61">
        <f>+'Personel Listesi'!C946</f>
        <v>0</v>
      </c>
    </row>
    <row r="1027" ht="12.75">
      <c r="M1027" s="61">
        <f>+'Personel Listesi'!C947</f>
        <v>0</v>
      </c>
    </row>
    <row r="1028" ht="12.75">
      <c r="M1028" s="61">
        <f>+'Personel Listesi'!C948</f>
        <v>0</v>
      </c>
    </row>
    <row r="1029" ht="12.75">
      <c r="M1029" s="61">
        <f>+'Personel Listesi'!C949</f>
        <v>0</v>
      </c>
    </row>
    <row r="1030" ht="12.75">
      <c r="M1030" s="61">
        <f>+'Personel Listesi'!C950</f>
        <v>0</v>
      </c>
    </row>
    <row r="1031" ht="12.75">
      <c r="M1031" s="61">
        <f>+'Personel Listesi'!C951</f>
        <v>0</v>
      </c>
    </row>
    <row r="1032" ht="12.75">
      <c r="M1032" s="61">
        <f>+'Personel Listesi'!C952</f>
        <v>0</v>
      </c>
    </row>
    <row r="1033" ht="12.75">
      <c r="M1033" s="61">
        <f>+'Personel Listesi'!C953</f>
        <v>0</v>
      </c>
    </row>
    <row r="1034" ht="12.75">
      <c r="M1034" s="61">
        <f>+'Personel Listesi'!C954</f>
        <v>0</v>
      </c>
    </row>
    <row r="1035" ht="12.75">
      <c r="M1035" s="61">
        <f>+'Personel Listesi'!C955</f>
        <v>0</v>
      </c>
    </row>
    <row r="1036" ht="12.75">
      <c r="M1036" s="61">
        <f>+'Personel Listesi'!C956</f>
        <v>0</v>
      </c>
    </row>
    <row r="1037" ht="12.75">
      <c r="M1037" s="61">
        <f>+'Personel Listesi'!C957</f>
        <v>0</v>
      </c>
    </row>
    <row r="1038" ht="12.75">
      <c r="M1038" s="61">
        <f>+'Personel Listesi'!C958</f>
        <v>0</v>
      </c>
    </row>
    <row r="1039" ht="12.75">
      <c r="M1039" s="61">
        <f>+'Personel Listesi'!C959</f>
        <v>0</v>
      </c>
    </row>
    <row r="1040" ht="12.75">
      <c r="M1040" s="61">
        <f>+'Personel Listesi'!C960</f>
        <v>0</v>
      </c>
    </row>
    <row r="1041" ht="12.75">
      <c r="M1041" s="61">
        <f>+'Personel Listesi'!C961</f>
        <v>0</v>
      </c>
    </row>
    <row r="1042" ht="12.75">
      <c r="M1042" s="61">
        <f>+'Personel Listesi'!C962</f>
        <v>0</v>
      </c>
    </row>
    <row r="1043" ht="12.75">
      <c r="M1043" s="61">
        <f>+'Personel Listesi'!C963</f>
        <v>0</v>
      </c>
    </row>
    <row r="1044" ht="12.75">
      <c r="M1044" s="61">
        <f>+'Personel Listesi'!C964</f>
        <v>0</v>
      </c>
    </row>
    <row r="1045" ht="12.75">
      <c r="M1045" s="61">
        <f>+'Personel Listesi'!C965</f>
        <v>0</v>
      </c>
    </row>
    <row r="1046" ht="12.75">
      <c r="M1046" s="61">
        <f>+'Personel Listesi'!C966</f>
        <v>0</v>
      </c>
    </row>
    <row r="1047" ht="12.75">
      <c r="M1047" s="61">
        <f>+'Personel Listesi'!C967</f>
        <v>0</v>
      </c>
    </row>
    <row r="1048" ht="12.75">
      <c r="M1048" s="61">
        <f>+'Personel Listesi'!C968</f>
        <v>0</v>
      </c>
    </row>
    <row r="1049" ht="12.75">
      <c r="M1049" s="61">
        <f>+'Personel Listesi'!C969</f>
        <v>0</v>
      </c>
    </row>
    <row r="1050" ht="12.75">
      <c r="M1050" s="61">
        <f>+'Personel Listesi'!C970</f>
        <v>0</v>
      </c>
    </row>
    <row r="1051" ht="12.75">
      <c r="M1051" s="61">
        <f>+'Personel Listesi'!C971</f>
        <v>0</v>
      </c>
    </row>
    <row r="1052" ht="12.75">
      <c r="M1052" s="61">
        <f>+'Personel Listesi'!C972</f>
        <v>0</v>
      </c>
    </row>
    <row r="1053" ht="12.75">
      <c r="M1053" s="61">
        <f>+'Personel Listesi'!C973</f>
        <v>0</v>
      </c>
    </row>
    <row r="1054" ht="12.75">
      <c r="M1054" s="61">
        <f>+'Personel Listesi'!C974</f>
        <v>0</v>
      </c>
    </row>
    <row r="1055" ht="12.75">
      <c r="M1055" s="61">
        <f>+'Personel Listesi'!C975</f>
        <v>0</v>
      </c>
    </row>
    <row r="1056" ht="12.75">
      <c r="M1056" s="61">
        <f>+'Personel Listesi'!C976</f>
        <v>0</v>
      </c>
    </row>
    <row r="1057" ht="12.75">
      <c r="M1057" s="61">
        <f>+'Personel Listesi'!C977</f>
        <v>0</v>
      </c>
    </row>
    <row r="1058" ht="12.75">
      <c r="M1058" s="61">
        <f>+'Personel Listesi'!C978</f>
        <v>0</v>
      </c>
    </row>
    <row r="1059" ht="12.75">
      <c r="M1059" s="61">
        <f>+'Personel Listesi'!C979</f>
        <v>0</v>
      </c>
    </row>
    <row r="1060" ht="12.75">
      <c r="M1060" s="61">
        <f>+'Personel Listesi'!C980</f>
        <v>0</v>
      </c>
    </row>
    <row r="1061" ht="12.75">
      <c r="M1061" s="61">
        <f>+'Personel Listesi'!C981</f>
        <v>0</v>
      </c>
    </row>
    <row r="1062" ht="12.75">
      <c r="M1062" s="61">
        <f>+'Personel Listesi'!C982</f>
        <v>0</v>
      </c>
    </row>
    <row r="1063" ht="12.75">
      <c r="M1063" s="61">
        <f>+'Personel Listesi'!C983</f>
        <v>0</v>
      </c>
    </row>
    <row r="1064" ht="12.75">
      <c r="M1064" s="61">
        <f>+'Personel Listesi'!C984</f>
        <v>0</v>
      </c>
    </row>
    <row r="1065" ht="12.75">
      <c r="M1065" s="61">
        <f>+'Personel Listesi'!C985</f>
        <v>0</v>
      </c>
    </row>
    <row r="1066" ht="12.75">
      <c r="M1066" s="61">
        <f>+'Personel Listesi'!C986</f>
        <v>0</v>
      </c>
    </row>
    <row r="1067" ht="12.75">
      <c r="M1067" s="61">
        <f>+'Personel Listesi'!C987</f>
        <v>0</v>
      </c>
    </row>
    <row r="1068" ht="12.75">
      <c r="M1068" s="61">
        <f>+'Personel Listesi'!C988</f>
        <v>0</v>
      </c>
    </row>
    <row r="1069" ht="12.75">
      <c r="M1069" s="61">
        <f>+'Personel Listesi'!C989</f>
        <v>0</v>
      </c>
    </row>
    <row r="1070" ht="12.75">
      <c r="M1070" s="61">
        <f>+'Personel Listesi'!C990</f>
        <v>0</v>
      </c>
    </row>
    <row r="1071" ht="12.75">
      <c r="M1071" s="61">
        <f>+'Personel Listesi'!C991</f>
        <v>0</v>
      </c>
    </row>
    <row r="1072" ht="12.75">
      <c r="M1072" s="61">
        <f>+'Personel Listesi'!C992</f>
        <v>0</v>
      </c>
    </row>
    <row r="1073" ht="12.75">
      <c r="M1073" s="61">
        <f>+'Personel Listesi'!C993</f>
        <v>0</v>
      </c>
    </row>
    <row r="1074" ht="12.75">
      <c r="M1074" s="61">
        <f>+'Personel Listesi'!C994</f>
        <v>0</v>
      </c>
    </row>
    <row r="1075" ht="12.75">
      <c r="M1075" s="61">
        <f>+'Personel Listesi'!C995</f>
        <v>0</v>
      </c>
    </row>
    <row r="1076" ht="12.75">
      <c r="M1076" s="61">
        <f>+'Personel Listesi'!C996</f>
        <v>0</v>
      </c>
    </row>
    <row r="1077" ht="12.75">
      <c r="M1077" s="61">
        <f>+'Personel Listesi'!C997</f>
        <v>0</v>
      </c>
    </row>
    <row r="1078" ht="12.75">
      <c r="M1078" s="61">
        <f>+'Personel Listesi'!C998</f>
        <v>0</v>
      </c>
    </row>
    <row r="1079" ht="12.75">
      <c r="M1079" s="61">
        <f>+'Personel Listesi'!C999</f>
        <v>0</v>
      </c>
    </row>
    <row r="1080" ht="12.75">
      <c r="M1080" s="61">
        <f>+'Personel Listesi'!C1000</f>
        <v>0</v>
      </c>
    </row>
    <row r="1081" ht="12.75">
      <c r="M1081" s="61">
        <f>+'Personel Listesi'!C1001</f>
        <v>0</v>
      </c>
    </row>
    <row r="1082" ht="12.75">
      <c r="M1082" s="61">
        <f>+'Personel Listesi'!C1002</f>
        <v>0</v>
      </c>
    </row>
    <row r="1083" ht="12.75">
      <c r="M1083" s="61">
        <f>+'Personel Listesi'!C1003</f>
        <v>0</v>
      </c>
    </row>
    <row r="1084" ht="12.75">
      <c r="M1084" s="61">
        <f>+'Personel Listesi'!C1004</f>
        <v>0</v>
      </c>
    </row>
    <row r="1085" ht="12.75">
      <c r="M1085" s="61">
        <f>+'Personel Listesi'!C1005</f>
        <v>0</v>
      </c>
    </row>
    <row r="1086" ht="12.75">
      <c r="M1086" s="61">
        <f>+'Personel Listesi'!C1006</f>
        <v>0</v>
      </c>
    </row>
    <row r="1087" ht="12.75">
      <c r="M1087" s="61">
        <f>+'Personel Listesi'!C1007</f>
        <v>0</v>
      </c>
    </row>
    <row r="1088" ht="12.75">
      <c r="M1088" s="61">
        <f>+'Personel Listesi'!C1008</f>
        <v>0</v>
      </c>
    </row>
    <row r="1089" ht="12.75">
      <c r="M1089" s="61">
        <f>+'Personel Listesi'!C1009</f>
        <v>0</v>
      </c>
    </row>
    <row r="1090" ht="12.75">
      <c r="M1090" s="61">
        <f>+'Personel Listesi'!C1010</f>
        <v>0</v>
      </c>
    </row>
    <row r="1091" ht="12.75">
      <c r="M1091" s="61">
        <f>+'Personel Listesi'!C1011</f>
        <v>0</v>
      </c>
    </row>
    <row r="1092" ht="12.75">
      <c r="M1092" s="61">
        <f>+'Personel Listesi'!C1012</f>
        <v>0</v>
      </c>
    </row>
    <row r="1093" ht="12.75">
      <c r="M1093" s="61">
        <f>+'Personel Listesi'!C1013</f>
        <v>0</v>
      </c>
    </row>
    <row r="1094" ht="12.75">
      <c r="M1094" s="61">
        <f>+'Personel Listesi'!C1014</f>
        <v>0</v>
      </c>
    </row>
    <row r="1095" ht="12.75">
      <c r="M1095" s="61">
        <f>+'Personel Listesi'!C1015</f>
        <v>0</v>
      </c>
    </row>
    <row r="1096" ht="12.75">
      <c r="M1096" s="61">
        <f>+'Personel Listesi'!C1016</f>
        <v>0</v>
      </c>
    </row>
    <row r="1097" ht="12.75">
      <c r="M1097" s="61">
        <f>+'Personel Listesi'!C1017</f>
        <v>0</v>
      </c>
    </row>
    <row r="1098" ht="12.75">
      <c r="M1098" s="61">
        <f>+'Personel Listesi'!C1018</f>
        <v>0</v>
      </c>
    </row>
    <row r="1099" ht="12.75">
      <c r="M1099" s="61">
        <f>+'Personel Listesi'!C1019</f>
        <v>0</v>
      </c>
    </row>
    <row r="1100" ht="12.75">
      <c r="M1100" s="61">
        <f>+'Personel Listesi'!C1020</f>
        <v>0</v>
      </c>
    </row>
    <row r="1101" ht="12.75">
      <c r="M1101" s="61">
        <f>+'Personel Listesi'!C1021</f>
        <v>0</v>
      </c>
    </row>
    <row r="1102" ht="12.75">
      <c r="M1102" s="61">
        <f>+'Personel Listesi'!C1022</f>
        <v>0</v>
      </c>
    </row>
    <row r="1103" ht="12.75">
      <c r="M1103" s="61">
        <f>+'Personel Listesi'!C1023</f>
        <v>0</v>
      </c>
    </row>
    <row r="1104" ht="12.75">
      <c r="M1104" s="61">
        <f>+'Personel Listesi'!C1024</f>
        <v>0</v>
      </c>
    </row>
    <row r="1105" ht="12.75">
      <c r="M1105" s="61">
        <f>+'Personel Listesi'!C1025</f>
        <v>0</v>
      </c>
    </row>
    <row r="1106" ht="12.75">
      <c r="M1106" s="61">
        <f>+'Personel Listesi'!C1026</f>
        <v>0</v>
      </c>
    </row>
    <row r="1107" ht="12.75">
      <c r="M1107" s="61">
        <f>+'Personel Listesi'!C1027</f>
        <v>0</v>
      </c>
    </row>
    <row r="1108" ht="12.75">
      <c r="M1108" s="61">
        <f>+'Personel Listesi'!C1028</f>
        <v>0</v>
      </c>
    </row>
    <row r="1109" ht="12.75">
      <c r="M1109" s="61">
        <f>+'Personel Listesi'!C1029</f>
        <v>0</v>
      </c>
    </row>
    <row r="1110" ht="12.75">
      <c r="M1110" s="61">
        <f>+'Personel Listesi'!C1030</f>
        <v>0</v>
      </c>
    </row>
    <row r="1111" ht="12.75">
      <c r="M1111" s="61">
        <f>+'Personel Listesi'!C1031</f>
        <v>0</v>
      </c>
    </row>
    <row r="1112" ht="12.75">
      <c r="M1112" s="61">
        <f>+'Personel Listesi'!C1032</f>
        <v>0</v>
      </c>
    </row>
    <row r="1113" ht="12.75">
      <c r="M1113" s="61">
        <f>+'Personel Listesi'!C1033</f>
        <v>0</v>
      </c>
    </row>
    <row r="1114" ht="12.75">
      <c r="M1114" s="61">
        <f>+'Personel Listesi'!C1034</f>
        <v>0</v>
      </c>
    </row>
    <row r="1115" ht="12.75">
      <c r="M1115" s="61">
        <f>+'Personel Listesi'!C1035</f>
        <v>0</v>
      </c>
    </row>
    <row r="1116" ht="12.75">
      <c r="M1116" s="61">
        <f>+'Personel Listesi'!C1036</f>
        <v>0</v>
      </c>
    </row>
    <row r="1117" ht="12.75">
      <c r="M1117" s="61">
        <f>+'Personel Listesi'!C1037</f>
        <v>0</v>
      </c>
    </row>
    <row r="1118" ht="12.75">
      <c r="M1118" s="61">
        <f>+'Personel Listesi'!C1038</f>
        <v>0</v>
      </c>
    </row>
    <row r="1119" ht="12.75">
      <c r="M1119" s="61">
        <f>+'Personel Listesi'!C1039</f>
        <v>0</v>
      </c>
    </row>
    <row r="1120" ht="12.75">
      <c r="M1120" s="61">
        <f>+'Personel Listesi'!C1040</f>
        <v>0</v>
      </c>
    </row>
    <row r="1121" ht="12.75">
      <c r="M1121" s="61">
        <f>+'Personel Listesi'!C1041</f>
        <v>0</v>
      </c>
    </row>
    <row r="1122" ht="12.75">
      <c r="M1122" s="61">
        <f>+'Personel Listesi'!C1042</f>
        <v>0</v>
      </c>
    </row>
    <row r="1123" ht="12.75">
      <c r="M1123" s="61">
        <f>+'Personel Listesi'!C1043</f>
        <v>0</v>
      </c>
    </row>
    <row r="1124" ht="12.75">
      <c r="M1124" s="61">
        <f>+'Personel Listesi'!C1044</f>
        <v>0</v>
      </c>
    </row>
    <row r="1125" ht="12.75">
      <c r="M1125" s="61">
        <f>+'Personel Listesi'!C1045</f>
        <v>0</v>
      </c>
    </row>
    <row r="1126" ht="12.75">
      <c r="M1126" s="61">
        <f>+'Personel Listesi'!C1046</f>
        <v>0</v>
      </c>
    </row>
    <row r="1127" ht="12.75">
      <c r="M1127" s="61">
        <f>+'Personel Listesi'!C1047</f>
        <v>0</v>
      </c>
    </row>
    <row r="1128" ht="12.75">
      <c r="M1128" s="61">
        <f>+'Personel Listesi'!C1048</f>
        <v>0</v>
      </c>
    </row>
    <row r="1129" ht="12.75">
      <c r="M1129" s="61">
        <f>+'Personel Listesi'!C1049</f>
        <v>0</v>
      </c>
    </row>
    <row r="1130" ht="12.75">
      <c r="M1130" s="61">
        <f>+'Personel Listesi'!C1050</f>
        <v>0</v>
      </c>
    </row>
    <row r="1131" ht="12.75">
      <c r="M1131" s="61">
        <f>+'Personel Listesi'!C1051</f>
        <v>0</v>
      </c>
    </row>
    <row r="1132" ht="12.75">
      <c r="M1132" s="61">
        <f>+'Personel Listesi'!C1052</f>
        <v>0</v>
      </c>
    </row>
    <row r="1133" ht="12.75">
      <c r="M1133" s="61">
        <f>+'Personel Listesi'!C1053</f>
        <v>0</v>
      </c>
    </row>
    <row r="1134" ht="12.75">
      <c r="M1134" s="61">
        <f>+'Personel Listesi'!C1054</f>
        <v>0</v>
      </c>
    </row>
    <row r="1135" ht="12.75">
      <c r="M1135" s="61">
        <f>+'Personel Listesi'!C1055</f>
        <v>0</v>
      </c>
    </row>
    <row r="1136" ht="12.75">
      <c r="M1136" s="61">
        <f>+'Personel Listesi'!C1056</f>
        <v>0</v>
      </c>
    </row>
    <row r="1137" ht="12.75">
      <c r="M1137" s="61">
        <f>+'Personel Listesi'!C1057</f>
        <v>0</v>
      </c>
    </row>
    <row r="1138" ht="12.75">
      <c r="M1138" s="61">
        <f>+'Personel Listesi'!C1058</f>
        <v>0</v>
      </c>
    </row>
    <row r="1139" ht="12.75">
      <c r="M1139" s="61">
        <f>+'Personel Listesi'!C1059</f>
        <v>0</v>
      </c>
    </row>
    <row r="1140" ht="12.75">
      <c r="M1140" s="61">
        <f>+'Personel Listesi'!C1060</f>
        <v>0</v>
      </c>
    </row>
    <row r="1141" ht="12.75">
      <c r="M1141" s="61">
        <f>+'Personel Listesi'!C1061</f>
        <v>0</v>
      </c>
    </row>
    <row r="1142" ht="12.75">
      <c r="M1142" s="61">
        <f>+'Personel Listesi'!C1062</f>
        <v>0</v>
      </c>
    </row>
    <row r="1143" ht="12.75">
      <c r="M1143" s="61">
        <f>+'Personel Listesi'!C1063</f>
        <v>0</v>
      </c>
    </row>
    <row r="1144" ht="12.75">
      <c r="M1144" s="61">
        <f>+'Personel Listesi'!C1064</f>
        <v>0</v>
      </c>
    </row>
    <row r="1145" ht="12.75">
      <c r="M1145" s="61">
        <f>+'Personel Listesi'!C1065</f>
        <v>0</v>
      </c>
    </row>
    <row r="1146" ht="12.75">
      <c r="M1146" s="61">
        <f>+'Personel Listesi'!C1066</f>
        <v>0</v>
      </c>
    </row>
    <row r="1147" ht="12.75">
      <c r="M1147" s="61">
        <f>+'Personel Listesi'!C1067</f>
        <v>0</v>
      </c>
    </row>
    <row r="1148" ht="12.75">
      <c r="M1148" s="61">
        <f>+'Personel Listesi'!C1068</f>
        <v>0</v>
      </c>
    </row>
    <row r="1149" ht="12.75">
      <c r="M1149" s="61">
        <f>+'Personel Listesi'!C1069</f>
        <v>0</v>
      </c>
    </row>
    <row r="1150" ht="12.75">
      <c r="M1150" s="61">
        <f>+'Personel Listesi'!C1070</f>
        <v>0</v>
      </c>
    </row>
    <row r="1151" ht="12.75">
      <c r="M1151" s="61">
        <f>+'Personel Listesi'!C1071</f>
        <v>0</v>
      </c>
    </row>
    <row r="1152" ht="12.75">
      <c r="M1152" s="61">
        <f>+'Personel Listesi'!C1072</f>
        <v>0</v>
      </c>
    </row>
    <row r="1153" ht="12.75">
      <c r="M1153" s="61">
        <f>+'Personel Listesi'!C1073</f>
        <v>0</v>
      </c>
    </row>
    <row r="1154" ht="12.75">
      <c r="M1154" s="61">
        <f>+'Personel Listesi'!C1074</f>
        <v>0</v>
      </c>
    </row>
    <row r="1155" ht="12.75">
      <c r="M1155" s="61">
        <f>+'Personel Listesi'!C1075</f>
        <v>0</v>
      </c>
    </row>
    <row r="1156" ht="12.75">
      <c r="M1156" s="61">
        <f>+'Personel Listesi'!C1076</f>
        <v>0</v>
      </c>
    </row>
    <row r="1157" ht="12.75">
      <c r="M1157" s="61">
        <f>+'Personel Listesi'!C1077</f>
        <v>0</v>
      </c>
    </row>
    <row r="1158" ht="12.75">
      <c r="M1158" s="61">
        <f>+'Personel Listesi'!C1078</f>
        <v>0</v>
      </c>
    </row>
    <row r="1159" ht="12.75">
      <c r="M1159" s="61">
        <f>+'Personel Listesi'!C1079</f>
        <v>0</v>
      </c>
    </row>
    <row r="1160" ht="12.75">
      <c r="M1160" s="61">
        <f>+'Personel Listesi'!C1080</f>
        <v>0</v>
      </c>
    </row>
    <row r="1161" ht="12.75">
      <c r="M1161" s="61">
        <f>+'Personel Listesi'!C1081</f>
        <v>0</v>
      </c>
    </row>
    <row r="1162" ht="12.75">
      <c r="M1162" s="61">
        <f>+'Personel Listesi'!C1082</f>
        <v>0</v>
      </c>
    </row>
    <row r="1163" ht="12.75">
      <c r="M1163" s="61">
        <f>+'Personel Listesi'!C1083</f>
        <v>0</v>
      </c>
    </row>
    <row r="1164" ht="12.75">
      <c r="M1164" s="61">
        <f>+'Personel Listesi'!C1084</f>
        <v>0</v>
      </c>
    </row>
    <row r="1165" ht="12.75">
      <c r="M1165" s="61">
        <f>+'Personel Listesi'!C1085</f>
        <v>0</v>
      </c>
    </row>
    <row r="1166" ht="12.75">
      <c r="M1166" s="61">
        <f>+'Personel Listesi'!C1086</f>
        <v>0</v>
      </c>
    </row>
    <row r="1167" ht="12.75">
      <c r="M1167" s="61">
        <f>+'Personel Listesi'!C1087</f>
        <v>0</v>
      </c>
    </row>
    <row r="1168" ht="12.75">
      <c r="M1168" s="61">
        <f>+'Personel Listesi'!C1088</f>
        <v>0</v>
      </c>
    </row>
    <row r="1169" ht="12.75">
      <c r="M1169" s="61">
        <f>+'Personel Listesi'!C1089</f>
        <v>0</v>
      </c>
    </row>
    <row r="1170" ht="12.75">
      <c r="M1170" s="61">
        <f>+'Personel Listesi'!C1090</f>
        <v>0</v>
      </c>
    </row>
    <row r="1171" ht="12.75">
      <c r="M1171" s="61">
        <f>+'Personel Listesi'!C1091</f>
        <v>0</v>
      </c>
    </row>
    <row r="1172" ht="12.75">
      <c r="M1172" s="61">
        <f>+'Personel Listesi'!C1092</f>
        <v>0</v>
      </c>
    </row>
    <row r="1173" ht="12.75">
      <c r="M1173" s="61">
        <f>+'Personel Listesi'!C1093</f>
        <v>0</v>
      </c>
    </row>
    <row r="1174" ht="12.75">
      <c r="M1174" s="61">
        <f>+'Personel Listesi'!C1094</f>
        <v>0</v>
      </c>
    </row>
    <row r="1175" ht="12.75">
      <c r="M1175" s="61">
        <f>+'Personel Listesi'!C1095</f>
        <v>0</v>
      </c>
    </row>
    <row r="1176" ht="12.75">
      <c r="M1176" s="61">
        <f>+'Personel Listesi'!C1096</f>
        <v>0</v>
      </c>
    </row>
    <row r="1177" ht="12.75">
      <c r="M1177" s="61">
        <f>+'Personel Listesi'!C1097</f>
        <v>0</v>
      </c>
    </row>
    <row r="1178" ht="12.75">
      <c r="M1178" s="61">
        <f>+'Personel Listesi'!C1098</f>
        <v>0</v>
      </c>
    </row>
    <row r="1179" ht="12.75">
      <c r="M1179" s="61">
        <f>+'Personel Listesi'!C1099</f>
        <v>0</v>
      </c>
    </row>
    <row r="1180" ht="12.75">
      <c r="M1180" s="61">
        <f>+'Personel Listesi'!C1100</f>
        <v>0</v>
      </c>
    </row>
    <row r="1181" ht="12.75">
      <c r="M1181" s="61">
        <f>+'Personel Listesi'!C1101</f>
        <v>0</v>
      </c>
    </row>
    <row r="1182" ht="12.75">
      <c r="M1182" s="61">
        <f>+'Personel Listesi'!C1102</f>
        <v>0</v>
      </c>
    </row>
    <row r="1183" ht="12.75">
      <c r="M1183" s="61">
        <f>+'Personel Listesi'!C1103</f>
        <v>0</v>
      </c>
    </row>
    <row r="1184" ht="12.75">
      <c r="M1184" s="61">
        <f>+'Personel Listesi'!C1104</f>
        <v>0</v>
      </c>
    </row>
    <row r="1185" ht="12.75">
      <c r="M1185" s="61">
        <f>+'Personel Listesi'!C1105</f>
        <v>0</v>
      </c>
    </row>
    <row r="1186" ht="12.75">
      <c r="M1186" s="61">
        <f>+'Personel Listesi'!C1106</f>
        <v>0</v>
      </c>
    </row>
    <row r="1187" ht="12.75">
      <c r="M1187" s="61">
        <f>+'Personel Listesi'!C1107</f>
        <v>0</v>
      </c>
    </row>
    <row r="1188" ht="12.75">
      <c r="M1188" s="61">
        <f>+'Personel Listesi'!C1108</f>
        <v>0</v>
      </c>
    </row>
    <row r="1189" ht="12.75">
      <c r="M1189" s="61">
        <f>+'Personel Listesi'!C1109</f>
        <v>0</v>
      </c>
    </row>
    <row r="1190" ht="12.75">
      <c r="M1190" s="61">
        <f>+'Personel Listesi'!C1110</f>
        <v>0</v>
      </c>
    </row>
    <row r="1191" ht="12.75">
      <c r="M1191" s="61">
        <f>+'Personel Listesi'!C1111</f>
        <v>0</v>
      </c>
    </row>
    <row r="1192" ht="12.75">
      <c r="M1192" s="61">
        <f>+'Personel Listesi'!C1112</f>
        <v>0</v>
      </c>
    </row>
    <row r="1193" ht="12.75">
      <c r="M1193" s="61">
        <f>+'Personel Listesi'!C1113</f>
        <v>0</v>
      </c>
    </row>
    <row r="1194" ht="12.75">
      <c r="M1194" s="61">
        <f>+'Personel Listesi'!C1114</f>
        <v>0</v>
      </c>
    </row>
    <row r="1195" ht="12.75">
      <c r="M1195" s="61">
        <f>+'Personel Listesi'!C1115</f>
        <v>0</v>
      </c>
    </row>
    <row r="1196" ht="12.75">
      <c r="M1196" s="61">
        <f>+'Personel Listesi'!C1116</f>
        <v>0</v>
      </c>
    </row>
    <row r="1197" ht="12.75">
      <c r="M1197" s="61">
        <f>+'Personel Listesi'!C1117</f>
        <v>0</v>
      </c>
    </row>
    <row r="1198" ht="12.75">
      <c r="M1198" s="61">
        <f>+'Personel Listesi'!C1118</f>
        <v>0</v>
      </c>
    </row>
    <row r="1199" ht="12.75">
      <c r="M1199" s="61">
        <f>+'Personel Listesi'!C1119</f>
        <v>0</v>
      </c>
    </row>
    <row r="1200" ht="12.75">
      <c r="M1200" s="61">
        <f>+'Personel Listesi'!C1120</f>
        <v>0</v>
      </c>
    </row>
    <row r="1201" ht="12.75">
      <c r="M1201" s="61">
        <f>+'Personel Listesi'!C1121</f>
        <v>0</v>
      </c>
    </row>
    <row r="1202" ht="12.75">
      <c r="M1202" s="61">
        <f>+'Personel Listesi'!C1122</f>
        <v>0</v>
      </c>
    </row>
    <row r="1203" ht="12.75">
      <c r="M1203" s="61">
        <f>+'Personel Listesi'!C1123</f>
        <v>0</v>
      </c>
    </row>
    <row r="1204" ht="12.75">
      <c r="M1204" s="61">
        <f>+'Personel Listesi'!C1124</f>
        <v>0</v>
      </c>
    </row>
    <row r="1205" ht="12.75">
      <c r="M1205" s="61">
        <f>+'Personel Listesi'!C1125</f>
        <v>0</v>
      </c>
    </row>
    <row r="1206" ht="12.75">
      <c r="M1206" s="61">
        <f>+'Personel Listesi'!C1126</f>
        <v>0</v>
      </c>
    </row>
    <row r="1207" ht="12.75">
      <c r="M1207" s="61">
        <f>+'Personel Listesi'!C1127</f>
        <v>0</v>
      </c>
    </row>
    <row r="1208" ht="12.75">
      <c r="M1208" s="61">
        <f>+'Personel Listesi'!C1128</f>
        <v>0</v>
      </c>
    </row>
    <row r="1209" ht="12.75">
      <c r="M1209" s="61">
        <f>+'Personel Listesi'!C1129</f>
        <v>0</v>
      </c>
    </row>
    <row r="1210" ht="12.75">
      <c r="M1210" s="61">
        <f>+'Personel Listesi'!C1130</f>
        <v>0</v>
      </c>
    </row>
    <row r="1211" ht="12.75">
      <c r="M1211" s="61">
        <f>+'Personel Listesi'!C1131</f>
        <v>0</v>
      </c>
    </row>
    <row r="1212" ht="12.75">
      <c r="M1212" s="61">
        <f>+'Personel Listesi'!C1132</f>
        <v>0</v>
      </c>
    </row>
    <row r="1213" ht="12.75">
      <c r="M1213" s="61">
        <f>+'Personel Listesi'!C1133</f>
        <v>0</v>
      </c>
    </row>
    <row r="1214" ht="12.75">
      <c r="M1214" s="61">
        <f>+'Personel Listesi'!C1134</f>
        <v>0</v>
      </c>
    </row>
    <row r="1215" ht="12.75">
      <c r="M1215" s="61">
        <f>+'Personel Listesi'!C1135</f>
        <v>0</v>
      </c>
    </row>
    <row r="1216" ht="12.75">
      <c r="M1216" s="61">
        <f>+'Personel Listesi'!C1136</f>
        <v>0</v>
      </c>
    </row>
    <row r="1217" ht="12.75">
      <c r="M1217" s="61">
        <f>+'Personel Listesi'!C1137</f>
        <v>0</v>
      </c>
    </row>
    <row r="1218" ht="12.75">
      <c r="M1218" s="61">
        <f>+'Personel Listesi'!C1138</f>
        <v>0</v>
      </c>
    </row>
    <row r="1219" ht="12.75">
      <c r="M1219" s="61">
        <f>+'Personel Listesi'!C1139</f>
        <v>0</v>
      </c>
    </row>
    <row r="1220" ht="12.75">
      <c r="M1220" s="61">
        <f>+'Personel Listesi'!C1140</f>
        <v>0</v>
      </c>
    </row>
    <row r="1221" ht="12.75">
      <c r="M1221" s="61">
        <f>+'Personel Listesi'!C1141</f>
        <v>0</v>
      </c>
    </row>
    <row r="1222" ht="12.75">
      <c r="M1222" s="61">
        <f>+'Personel Listesi'!C1142</f>
        <v>0</v>
      </c>
    </row>
    <row r="1223" ht="12.75">
      <c r="M1223" s="61">
        <f>+'Personel Listesi'!C1143</f>
        <v>0</v>
      </c>
    </row>
    <row r="1224" ht="12.75">
      <c r="M1224" s="61">
        <f>+'Personel Listesi'!C1144</f>
        <v>0</v>
      </c>
    </row>
    <row r="1225" ht="12.75">
      <c r="M1225" s="61">
        <f>+'Personel Listesi'!C1145</f>
        <v>0</v>
      </c>
    </row>
    <row r="1226" ht="12.75">
      <c r="M1226" s="61">
        <f>+'Personel Listesi'!C1146</f>
        <v>0</v>
      </c>
    </row>
    <row r="1227" ht="12.75">
      <c r="M1227" s="61">
        <f>+'Personel Listesi'!C1147</f>
        <v>0</v>
      </c>
    </row>
    <row r="1228" ht="12.75">
      <c r="M1228" s="61">
        <f>+'Personel Listesi'!C1148</f>
        <v>0</v>
      </c>
    </row>
    <row r="1229" ht="12.75">
      <c r="M1229" s="61">
        <f>+'Personel Listesi'!C1149</f>
        <v>0</v>
      </c>
    </row>
    <row r="1230" ht="12.75">
      <c r="M1230" s="61">
        <f>+'Personel Listesi'!C1150</f>
        <v>0</v>
      </c>
    </row>
    <row r="1231" ht="12.75">
      <c r="M1231" s="61">
        <f>+'Personel Listesi'!C1151</f>
        <v>0</v>
      </c>
    </row>
    <row r="1232" ht="12.75">
      <c r="M1232" s="61">
        <f>+'Personel Listesi'!C1152</f>
        <v>0</v>
      </c>
    </row>
    <row r="1233" ht="12.75">
      <c r="M1233" s="61">
        <f>+'Personel Listesi'!C1153</f>
        <v>0</v>
      </c>
    </row>
    <row r="1234" ht="12.75">
      <c r="M1234" s="61">
        <f>+'Personel Listesi'!C1154</f>
        <v>0</v>
      </c>
    </row>
    <row r="1235" ht="12.75">
      <c r="M1235" s="61">
        <f>+'Personel Listesi'!C1155</f>
        <v>0</v>
      </c>
    </row>
    <row r="1236" ht="12.75">
      <c r="M1236" s="61">
        <f>+'Personel Listesi'!C1156</f>
        <v>0</v>
      </c>
    </row>
    <row r="1237" ht="12.75">
      <c r="M1237" s="61">
        <f>+'Personel Listesi'!C1157</f>
        <v>0</v>
      </c>
    </row>
    <row r="1238" ht="12.75">
      <c r="M1238" s="61">
        <f>+'Personel Listesi'!C1158</f>
        <v>0</v>
      </c>
    </row>
    <row r="1239" ht="12.75">
      <c r="M1239" s="61">
        <f>+'Personel Listesi'!C1159</f>
        <v>0</v>
      </c>
    </row>
    <row r="1240" ht="12.75">
      <c r="M1240" s="61">
        <f>+'Personel Listesi'!C1160</f>
        <v>0</v>
      </c>
    </row>
    <row r="1241" ht="12.75">
      <c r="M1241" s="61">
        <f>+'Personel Listesi'!C1161</f>
        <v>0</v>
      </c>
    </row>
    <row r="1242" ht="12.75">
      <c r="M1242" s="61">
        <f>+'Personel Listesi'!C1162</f>
        <v>0</v>
      </c>
    </row>
    <row r="1243" ht="12.75">
      <c r="M1243" s="61">
        <f>+'Personel Listesi'!C1163</f>
        <v>0</v>
      </c>
    </row>
    <row r="1244" ht="12.75">
      <c r="M1244" s="61">
        <f>+'Personel Listesi'!C1164</f>
        <v>0</v>
      </c>
    </row>
    <row r="1245" ht="12.75">
      <c r="M1245" s="61">
        <f>+'Personel Listesi'!C1165</f>
        <v>0</v>
      </c>
    </row>
    <row r="1246" ht="12.75">
      <c r="M1246" s="61">
        <f>+'Personel Listesi'!C1166</f>
        <v>0</v>
      </c>
    </row>
    <row r="1247" ht="12.75">
      <c r="M1247" s="61">
        <f>+'Personel Listesi'!C1167</f>
        <v>0</v>
      </c>
    </row>
    <row r="1248" ht="12.75">
      <c r="M1248" s="61">
        <f>+'Personel Listesi'!C1168</f>
        <v>0</v>
      </c>
    </row>
    <row r="1249" ht="12.75">
      <c r="M1249" s="61">
        <f>+'Personel Listesi'!C1169</f>
        <v>0</v>
      </c>
    </row>
    <row r="1250" ht="12.75">
      <c r="M1250" s="61">
        <f>+'Personel Listesi'!C1170</f>
        <v>0</v>
      </c>
    </row>
    <row r="1251" ht="12.75">
      <c r="M1251" s="61">
        <f>+'Personel Listesi'!C1171</f>
        <v>0</v>
      </c>
    </row>
    <row r="1252" ht="12.75">
      <c r="M1252" s="61">
        <f>+'Personel Listesi'!C1172</f>
        <v>0</v>
      </c>
    </row>
    <row r="1253" ht="12.75">
      <c r="M1253" s="61">
        <f>+'Personel Listesi'!C1173</f>
        <v>0</v>
      </c>
    </row>
    <row r="1254" ht="12.75">
      <c r="M1254" s="61">
        <f>+'Personel Listesi'!C1174</f>
        <v>0</v>
      </c>
    </row>
    <row r="1255" ht="12.75">
      <c r="M1255" s="61">
        <f>+'Personel Listesi'!C1175</f>
        <v>0</v>
      </c>
    </row>
    <row r="1256" ht="12.75">
      <c r="M1256" s="61">
        <f>+'Personel Listesi'!C1176</f>
        <v>0</v>
      </c>
    </row>
    <row r="1257" ht="12.75">
      <c r="M1257" s="61">
        <f>+'Personel Listesi'!C1177</f>
        <v>0</v>
      </c>
    </row>
    <row r="1258" ht="12.75">
      <c r="M1258" s="61">
        <f>+'Personel Listesi'!C1178</f>
        <v>0</v>
      </c>
    </row>
    <row r="1259" ht="12.75">
      <c r="M1259" s="61">
        <f>+'Personel Listesi'!C1179</f>
        <v>0</v>
      </c>
    </row>
    <row r="1260" ht="12.75">
      <c r="M1260" s="61">
        <f>+'Personel Listesi'!C1180</f>
        <v>0</v>
      </c>
    </row>
    <row r="1261" ht="12.75">
      <c r="M1261" s="61">
        <f>+'Personel Listesi'!C1181</f>
        <v>0</v>
      </c>
    </row>
    <row r="1262" ht="12.75">
      <c r="M1262" s="61">
        <f>+'Personel Listesi'!C1182</f>
        <v>0</v>
      </c>
    </row>
    <row r="1263" ht="12.75">
      <c r="M1263" s="61">
        <f>+'Personel Listesi'!C1183</f>
        <v>0</v>
      </c>
    </row>
    <row r="1264" ht="12.75">
      <c r="M1264" s="61">
        <f>+'Personel Listesi'!C1184</f>
        <v>0</v>
      </c>
    </row>
    <row r="1265" ht="12.75">
      <c r="M1265" s="61">
        <f>+'Personel Listesi'!C1185</f>
        <v>0</v>
      </c>
    </row>
    <row r="1266" ht="12.75">
      <c r="M1266" s="61">
        <f>+'Personel Listesi'!C1186</f>
        <v>0</v>
      </c>
    </row>
    <row r="1267" ht="12.75">
      <c r="M1267" s="61">
        <f>+'Personel Listesi'!C1187</f>
        <v>0</v>
      </c>
    </row>
    <row r="1268" ht="12.75">
      <c r="M1268" s="61">
        <f>+'Personel Listesi'!C1188</f>
        <v>0</v>
      </c>
    </row>
    <row r="1269" ht="12.75">
      <c r="M1269" s="61">
        <f>+'Personel Listesi'!C1189</f>
        <v>0</v>
      </c>
    </row>
    <row r="1270" ht="12.75">
      <c r="M1270" s="61">
        <f>+'Personel Listesi'!C1190</f>
        <v>0</v>
      </c>
    </row>
    <row r="1271" ht="12.75">
      <c r="M1271" s="61">
        <f>+'Personel Listesi'!C1191</f>
        <v>0</v>
      </c>
    </row>
    <row r="1272" ht="12.75">
      <c r="M1272" s="61">
        <f>+'Personel Listesi'!C1192</f>
        <v>0</v>
      </c>
    </row>
    <row r="1273" ht="12.75">
      <c r="M1273" s="61">
        <f>+'Personel Listesi'!C1193</f>
        <v>0</v>
      </c>
    </row>
    <row r="1274" ht="12.75">
      <c r="M1274" s="61">
        <f>+'Personel Listesi'!C1194</f>
        <v>0</v>
      </c>
    </row>
    <row r="1275" ht="12.75">
      <c r="M1275" s="61">
        <f>+'Personel Listesi'!C1195</f>
        <v>0</v>
      </c>
    </row>
    <row r="1276" ht="12.75">
      <c r="M1276" s="61">
        <f>+'Personel Listesi'!C1196</f>
        <v>0</v>
      </c>
    </row>
    <row r="1277" ht="12.75">
      <c r="M1277" s="61">
        <f>+'Personel Listesi'!C1197</f>
        <v>0</v>
      </c>
    </row>
    <row r="1278" ht="12.75">
      <c r="M1278" s="61">
        <f>+'Personel Listesi'!C1198</f>
        <v>0</v>
      </c>
    </row>
    <row r="1279" ht="12.75">
      <c r="M1279" s="61">
        <f>+'Personel Listesi'!C1199</f>
        <v>0</v>
      </c>
    </row>
    <row r="1280" ht="12.75">
      <c r="M1280" s="61">
        <f>+'Personel Listesi'!C1200</f>
        <v>0</v>
      </c>
    </row>
    <row r="1281" ht="12.75">
      <c r="M1281" s="61">
        <f>+'Personel Listesi'!C1201</f>
        <v>0</v>
      </c>
    </row>
    <row r="1282" ht="12.75">
      <c r="M1282" s="61">
        <f>+'Personel Listesi'!C1202</f>
        <v>0</v>
      </c>
    </row>
    <row r="1283" ht="12.75">
      <c r="M1283" s="61">
        <f>+'Personel Listesi'!C1203</f>
        <v>0</v>
      </c>
    </row>
    <row r="1284" ht="12.75">
      <c r="M1284" s="61">
        <f>+'Personel Listesi'!C1204</f>
        <v>0</v>
      </c>
    </row>
    <row r="1285" ht="12.75">
      <c r="M1285" s="61">
        <f>+'Personel Listesi'!C1205</f>
        <v>0</v>
      </c>
    </row>
    <row r="1286" ht="12.75">
      <c r="M1286" s="61">
        <f>+'Personel Listesi'!C1206</f>
        <v>0</v>
      </c>
    </row>
    <row r="1287" ht="12.75">
      <c r="M1287" s="61">
        <f>+'Personel Listesi'!C1207</f>
        <v>0</v>
      </c>
    </row>
    <row r="1288" ht="12.75">
      <c r="M1288" s="61">
        <f>+'Personel Listesi'!C1208</f>
        <v>0</v>
      </c>
    </row>
    <row r="1289" ht="12.75">
      <c r="M1289" s="61">
        <f>+'Personel Listesi'!C1209</f>
        <v>0</v>
      </c>
    </row>
    <row r="1290" ht="12.75">
      <c r="M1290" s="61">
        <f>+'Personel Listesi'!C1210</f>
        <v>0</v>
      </c>
    </row>
    <row r="1291" ht="12.75">
      <c r="M1291" s="61">
        <f>+'Personel Listesi'!C1211</f>
        <v>0</v>
      </c>
    </row>
    <row r="1292" ht="12.75">
      <c r="M1292" s="61">
        <f>+'Personel Listesi'!C1212</f>
        <v>0</v>
      </c>
    </row>
    <row r="1293" ht="12.75">
      <c r="M1293" s="61">
        <f>+'Personel Listesi'!C1213</f>
        <v>0</v>
      </c>
    </row>
    <row r="1294" ht="12.75">
      <c r="M1294" s="61">
        <f>+'Personel Listesi'!C1214</f>
        <v>0</v>
      </c>
    </row>
    <row r="1295" ht="12.75">
      <c r="M1295" s="61">
        <f>+'Personel Listesi'!C1215</f>
        <v>0</v>
      </c>
    </row>
    <row r="1296" ht="12.75">
      <c r="M1296" s="61">
        <f>+'Personel Listesi'!C1216</f>
        <v>0</v>
      </c>
    </row>
    <row r="1297" ht="12.75">
      <c r="M1297" s="61">
        <f>+'Personel Listesi'!C1217</f>
        <v>0</v>
      </c>
    </row>
    <row r="1298" ht="12.75">
      <c r="M1298" s="61">
        <f>+'Personel Listesi'!C1218</f>
        <v>0</v>
      </c>
    </row>
    <row r="1299" ht="12.75">
      <c r="M1299" s="61">
        <f>+'Personel Listesi'!C1219</f>
        <v>0</v>
      </c>
    </row>
    <row r="1300" ht="12.75">
      <c r="M1300" s="61">
        <f>+'Personel Listesi'!C1220</f>
        <v>0</v>
      </c>
    </row>
    <row r="1301" ht="12.75">
      <c r="M1301" s="61">
        <f>+'Personel Listesi'!C1221</f>
        <v>0</v>
      </c>
    </row>
    <row r="1302" ht="12.75">
      <c r="M1302" s="61">
        <f>+'Personel Listesi'!C1222</f>
        <v>0</v>
      </c>
    </row>
    <row r="1303" ht="12.75">
      <c r="M1303" s="61">
        <f>+'Personel Listesi'!C1223</f>
        <v>0</v>
      </c>
    </row>
    <row r="1304" ht="12.75">
      <c r="M1304" s="61">
        <f>+'Personel Listesi'!C1224</f>
        <v>0</v>
      </c>
    </row>
    <row r="1305" ht="12.75">
      <c r="M1305" s="61">
        <f>+'Personel Listesi'!C1225</f>
        <v>0</v>
      </c>
    </row>
    <row r="1306" ht="12.75">
      <c r="M1306" s="61">
        <f>+'Personel Listesi'!C1226</f>
        <v>0</v>
      </c>
    </row>
    <row r="1307" ht="12.75">
      <c r="M1307" s="61">
        <f>+'Personel Listesi'!C1227</f>
        <v>0</v>
      </c>
    </row>
    <row r="1308" ht="12.75">
      <c r="M1308" s="61">
        <f>+'Personel Listesi'!C1228</f>
        <v>0</v>
      </c>
    </row>
    <row r="1309" ht="12.75">
      <c r="M1309" s="61">
        <f>+'Personel Listesi'!C1229</f>
        <v>0</v>
      </c>
    </row>
    <row r="1310" ht="12.75">
      <c r="M1310" s="61">
        <f>+'Personel Listesi'!C1230</f>
        <v>0</v>
      </c>
    </row>
    <row r="1311" ht="12.75">
      <c r="M1311" s="61">
        <f>+'Personel Listesi'!C1231</f>
        <v>0</v>
      </c>
    </row>
    <row r="1312" ht="12.75">
      <c r="M1312" s="61">
        <f>+'Personel Listesi'!C1232</f>
        <v>0</v>
      </c>
    </row>
    <row r="1313" ht="12.75">
      <c r="M1313" s="61">
        <f>+'Personel Listesi'!C1233</f>
        <v>0</v>
      </c>
    </row>
    <row r="1314" ht="12.75">
      <c r="M1314" s="61">
        <f>+'Personel Listesi'!C1234</f>
        <v>0</v>
      </c>
    </row>
    <row r="1315" ht="12.75">
      <c r="M1315" s="61">
        <f>+'Personel Listesi'!C1235</f>
        <v>0</v>
      </c>
    </row>
    <row r="1316" ht="12.75">
      <c r="M1316" s="61">
        <f>+'Personel Listesi'!C1236</f>
        <v>0</v>
      </c>
    </row>
    <row r="1317" ht="12.75">
      <c r="M1317" s="61">
        <f>+'Personel Listesi'!C1237</f>
        <v>0</v>
      </c>
    </row>
    <row r="1318" ht="12.75">
      <c r="M1318" s="61">
        <f>+'Personel Listesi'!C1238</f>
        <v>0</v>
      </c>
    </row>
    <row r="1319" ht="12.75">
      <c r="M1319" s="61">
        <f>+'Personel Listesi'!C1239</f>
        <v>0</v>
      </c>
    </row>
    <row r="1320" ht="12.75">
      <c r="M1320" s="61">
        <f>+'Personel Listesi'!C1240</f>
        <v>0</v>
      </c>
    </row>
    <row r="1321" ht="12.75">
      <c r="M1321" s="61">
        <f>+'Personel Listesi'!C1241</f>
        <v>0</v>
      </c>
    </row>
    <row r="1322" ht="12.75">
      <c r="M1322" s="61">
        <f>+'Personel Listesi'!C1242</f>
        <v>0</v>
      </c>
    </row>
    <row r="1323" ht="12.75">
      <c r="M1323" s="61">
        <f>+'Personel Listesi'!C1243</f>
        <v>0</v>
      </c>
    </row>
    <row r="1324" ht="12.75">
      <c r="M1324" s="61">
        <f>+'Personel Listesi'!C1244</f>
        <v>0</v>
      </c>
    </row>
    <row r="1325" ht="12.75">
      <c r="M1325" s="61">
        <f>+'Personel Listesi'!C1245</f>
        <v>0</v>
      </c>
    </row>
    <row r="1326" ht="12.75">
      <c r="M1326" s="61">
        <f>+'Personel Listesi'!C1246</f>
        <v>0</v>
      </c>
    </row>
    <row r="1327" ht="12.75">
      <c r="M1327" s="61">
        <f>+'Personel Listesi'!C1247</f>
        <v>0</v>
      </c>
    </row>
    <row r="1328" ht="12.75">
      <c r="M1328" s="61">
        <f>+'Personel Listesi'!C1248</f>
        <v>0</v>
      </c>
    </row>
    <row r="1329" ht="12.75">
      <c r="M1329" s="61">
        <f>+'Personel Listesi'!C1249</f>
        <v>0</v>
      </c>
    </row>
    <row r="1330" ht="12.75">
      <c r="M1330" s="61">
        <f>+'Personel Listesi'!C1250</f>
        <v>0</v>
      </c>
    </row>
    <row r="1331" ht="12.75">
      <c r="M1331" s="61">
        <f>+'Personel Listesi'!C1251</f>
        <v>0</v>
      </c>
    </row>
    <row r="1332" ht="12.75">
      <c r="M1332" s="61">
        <f>+'Personel Listesi'!C1252</f>
        <v>0</v>
      </c>
    </row>
    <row r="1333" ht="12.75">
      <c r="M1333" s="61">
        <f>+'Personel Listesi'!C1253</f>
        <v>0</v>
      </c>
    </row>
    <row r="1334" ht="12.75">
      <c r="M1334" s="61">
        <f>+'Personel Listesi'!C1254</f>
        <v>0</v>
      </c>
    </row>
    <row r="1335" ht="12.75">
      <c r="M1335" s="61">
        <f>+'Personel Listesi'!C1255</f>
        <v>0</v>
      </c>
    </row>
    <row r="1336" ht="12.75">
      <c r="M1336" s="61">
        <f>+'Personel Listesi'!C1256</f>
        <v>0</v>
      </c>
    </row>
    <row r="1337" ht="12.75">
      <c r="M1337" s="61">
        <f>+'Personel Listesi'!C1257</f>
        <v>0</v>
      </c>
    </row>
    <row r="1338" ht="12.75">
      <c r="M1338" s="61">
        <f>+'Personel Listesi'!C1258</f>
        <v>0</v>
      </c>
    </row>
    <row r="1339" ht="12.75">
      <c r="M1339" s="61">
        <f>+'Personel Listesi'!C1259</f>
        <v>0</v>
      </c>
    </row>
    <row r="1340" ht="12.75">
      <c r="M1340" s="61">
        <f>+'Personel Listesi'!C1260</f>
        <v>0</v>
      </c>
    </row>
    <row r="1341" ht="12.75">
      <c r="M1341" s="61">
        <f>+'Personel Listesi'!C1261</f>
        <v>0</v>
      </c>
    </row>
    <row r="1342" ht="12.75">
      <c r="M1342" s="61">
        <f>+'Personel Listesi'!C1262</f>
        <v>0</v>
      </c>
    </row>
    <row r="1343" ht="12.75">
      <c r="M1343" s="61">
        <f>+'Personel Listesi'!C1263</f>
        <v>0</v>
      </c>
    </row>
    <row r="1344" ht="12.75">
      <c r="M1344" s="61">
        <f>+'Personel Listesi'!C1264</f>
        <v>0</v>
      </c>
    </row>
    <row r="1345" ht="12.75">
      <c r="M1345" s="61">
        <f>+'Personel Listesi'!C1265</f>
        <v>0</v>
      </c>
    </row>
    <row r="1346" ht="12.75">
      <c r="M1346" s="61">
        <f>+'Personel Listesi'!C1266</f>
        <v>0</v>
      </c>
    </row>
    <row r="1347" ht="12.75">
      <c r="M1347" s="61">
        <f>+'Personel Listesi'!C1267</f>
        <v>0</v>
      </c>
    </row>
    <row r="1348" ht="12.75">
      <c r="M1348" s="61">
        <f>+'Personel Listesi'!C1268</f>
        <v>0</v>
      </c>
    </row>
    <row r="1349" ht="12.75">
      <c r="M1349" s="61">
        <f>+'Personel Listesi'!C1269</f>
        <v>0</v>
      </c>
    </row>
    <row r="1350" ht="12.75">
      <c r="M1350" s="61">
        <f>+'Personel Listesi'!C1270</f>
        <v>0</v>
      </c>
    </row>
    <row r="1351" ht="12.75">
      <c r="M1351" s="61">
        <f>+'Personel Listesi'!C1271</f>
        <v>0</v>
      </c>
    </row>
    <row r="1352" ht="12.75">
      <c r="M1352" s="61">
        <f>+'Personel Listesi'!C1272</f>
        <v>0</v>
      </c>
    </row>
    <row r="1353" ht="12.75">
      <c r="M1353" s="61">
        <f>+'Personel Listesi'!C1273</f>
        <v>0</v>
      </c>
    </row>
    <row r="1354" ht="12.75">
      <c r="M1354" s="61">
        <f>+'Personel Listesi'!C1274</f>
        <v>0</v>
      </c>
    </row>
    <row r="1355" ht="12.75">
      <c r="M1355" s="61">
        <f>+'Personel Listesi'!C1275</f>
        <v>0</v>
      </c>
    </row>
    <row r="1356" ht="12.75">
      <c r="M1356" s="61">
        <f>+'Personel Listesi'!C1276</f>
        <v>0</v>
      </c>
    </row>
    <row r="1357" ht="12.75">
      <c r="M1357" s="61">
        <f>+'Personel Listesi'!C1277</f>
        <v>0</v>
      </c>
    </row>
    <row r="1358" ht="12.75">
      <c r="M1358" s="61">
        <f>+'Personel Listesi'!C1278</f>
        <v>0</v>
      </c>
    </row>
    <row r="1359" ht="12.75">
      <c r="M1359" s="61">
        <f>+'Personel Listesi'!C1279</f>
        <v>0</v>
      </c>
    </row>
    <row r="1360" ht="12.75">
      <c r="M1360" s="61">
        <f>+'Personel Listesi'!C1280</f>
        <v>0</v>
      </c>
    </row>
    <row r="1361" ht="12.75">
      <c r="M1361" s="61">
        <f>+'Personel Listesi'!C1281</f>
        <v>0</v>
      </c>
    </row>
    <row r="1362" ht="12.75">
      <c r="M1362" s="61">
        <f>+'Personel Listesi'!C1282</f>
        <v>0</v>
      </c>
    </row>
    <row r="1363" ht="12.75">
      <c r="M1363" s="61">
        <f>+'Personel Listesi'!C1283</f>
        <v>0</v>
      </c>
    </row>
    <row r="1364" ht="12.75">
      <c r="M1364" s="61">
        <f>+'Personel Listesi'!C1284</f>
        <v>0</v>
      </c>
    </row>
    <row r="1365" ht="12.75">
      <c r="M1365" s="61">
        <f>+'Personel Listesi'!C1285</f>
        <v>0</v>
      </c>
    </row>
    <row r="1366" ht="12.75">
      <c r="M1366" s="61">
        <f>+'Personel Listesi'!C1286</f>
        <v>0</v>
      </c>
    </row>
    <row r="1367" ht="12.75">
      <c r="M1367" s="61">
        <f>+'Personel Listesi'!C1287</f>
        <v>0</v>
      </c>
    </row>
    <row r="1368" ht="12.75">
      <c r="M1368" s="61">
        <f>+'Personel Listesi'!C1288</f>
        <v>0</v>
      </c>
    </row>
    <row r="1369" ht="12.75">
      <c r="M1369" s="61">
        <f>+'Personel Listesi'!C1289</f>
        <v>0</v>
      </c>
    </row>
    <row r="1370" ht="12.75">
      <c r="M1370" s="61">
        <f>+'Personel Listesi'!C1290</f>
        <v>0</v>
      </c>
    </row>
    <row r="1371" ht="12.75">
      <c r="M1371" s="61">
        <f>+'Personel Listesi'!C1291</f>
        <v>0</v>
      </c>
    </row>
    <row r="1372" ht="12.75">
      <c r="M1372" s="61">
        <f>+'Personel Listesi'!C1292</f>
        <v>0</v>
      </c>
    </row>
    <row r="1373" ht="12.75">
      <c r="M1373" s="61">
        <f>+'Personel Listesi'!C1293</f>
        <v>0</v>
      </c>
    </row>
    <row r="1374" ht="12.75">
      <c r="M1374" s="61">
        <f>+'Personel Listesi'!C1294</f>
        <v>0</v>
      </c>
    </row>
    <row r="1375" ht="12.75">
      <c r="M1375" s="61">
        <f>+'Personel Listesi'!C1295</f>
        <v>0</v>
      </c>
    </row>
    <row r="1376" ht="12.75">
      <c r="M1376" s="61">
        <f>+'Personel Listesi'!C1296</f>
        <v>0</v>
      </c>
    </row>
    <row r="1377" ht="12.75">
      <c r="M1377" s="61">
        <f>+'Personel Listesi'!C1297</f>
        <v>0</v>
      </c>
    </row>
    <row r="1378" ht="12.75">
      <c r="M1378" s="61">
        <f>+'Personel Listesi'!C1298</f>
        <v>0</v>
      </c>
    </row>
    <row r="1379" ht="12.75">
      <c r="M1379" s="61">
        <f>+'Personel Listesi'!C1299</f>
        <v>0</v>
      </c>
    </row>
    <row r="1380" ht="12.75">
      <c r="M1380" s="61">
        <f>+'Personel Listesi'!C1300</f>
        <v>0</v>
      </c>
    </row>
    <row r="1381" ht="12.75">
      <c r="M1381" s="61">
        <f>+'Personel Listesi'!C1301</f>
        <v>0</v>
      </c>
    </row>
    <row r="1382" ht="12.75">
      <c r="M1382" s="61">
        <f>+'Personel Listesi'!C1302</f>
        <v>0</v>
      </c>
    </row>
    <row r="1383" ht="12.75">
      <c r="M1383" s="61">
        <f>+'Personel Listesi'!C1303</f>
        <v>0</v>
      </c>
    </row>
    <row r="1384" ht="12.75">
      <c r="M1384" s="61">
        <f>+'Personel Listesi'!C1304</f>
        <v>0</v>
      </c>
    </row>
    <row r="1385" ht="12.75">
      <c r="M1385" s="61">
        <f>+'Personel Listesi'!C1305</f>
        <v>0</v>
      </c>
    </row>
    <row r="1386" ht="12.75">
      <c r="M1386" s="61">
        <f>+'Personel Listesi'!C1306</f>
        <v>0</v>
      </c>
    </row>
    <row r="1387" ht="12.75">
      <c r="M1387" s="61">
        <f>+'Personel Listesi'!C1307</f>
        <v>0</v>
      </c>
    </row>
    <row r="1388" ht="12.75">
      <c r="M1388" s="61">
        <f>+'Personel Listesi'!C1308</f>
        <v>0</v>
      </c>
    </row>
    <row r="1389" ht="12.75">
      <c r="M1389" s="61">
        <f>+'Personel Listesi'!C1309</f>
        <v>0</v>
      </c>
    </row>
    <row r="1390" ht="12.75">
      <c r="M1390" s="61">
        <f>+'Personel Listesi'!C1310</f>
        <v>0</v>
      </c>
    </row>
    <row r="1391" ht="12.75">
      <c r="M1391" s="61">
        <f>+'Personel Listesi'!C1311</f>
        <v>0</v>
      </c>
    </row>
    <row r="1392" ht="12.75">
      <c r="M1392" s="61">
        <f>+'Personel Listesi'!C1312</f>
        <v>0</v>
      </c>
    </row>
    <row r="1393" ht="12.75">
      <c r="M1393" s="61">
        <f>+'Personel Listesi'!C1313</f>
        <v>0</v>
      </c>
    </row>
    <row r="1394" ht="12.75">
      <c r="M1394" s="61">
        <f>+'Personel Listesi'!C1314</f>
        <v>0</v>
      </c>
    </row>
    <row r="1395" ht="12.75">
      <c r="M1395" s="61">
        <f>+'Personel Listesi'!C1315</f>
        <v>0</v>
      </c>
    </row>
    <row r="1396" ht="12.75">
      <c r="M1396" s="61">
        <f>+'Personel Listesi'!C1316</f>
        <v>0</v>
      </c>
    </row>
    <row r="1397" ht="12.75">
      <c r="M1397" s="61">
        <f>+'Personel Listesi'!C1317</f>
        <v>0</v>
      </c>
    </row>
    <row r="1398" ht="12.75">
      <c r="M1398" s="61">
        <f>+'Personel Listesi'!C1318</f>
        <v>0</v>
      </c>
    </row>
    <row r="1399" ht="12.75">
      <c r="M1399" s="61">
        <f>+'Personel Listesi'!C1319</f>
        <v>0</v>
      </c>
    </row>
    <row r="1400" ht="12.75">
      <c r="M1400" s="61">
        <f>+'Personel Listesi'!C1320</f>
        <v>0</v>
      </c>
    </row>
    <row r="1401" ht="12.75">
      <c r="M1401" s="61">
        <f>+'Personel Listesi'!C1321</f>
        <v>0</v>
      </c>
    </row>
    <row r="1402" ht="12.75">
      <c r="M1402" s="61">
        <f>+'Personel Listesi'!C1322</f>
        <v>0</v>
      </c>
    </row>
    <row r="1403" ht="12.75">
      <c r="M1403" s="61">
        <f>+'Personel Listesi'!C1323</f>
        <v>0</v>
      </c>
    </row>
    <row r="1404" ht="12.75">
      <c r="M1404" s="61">
        <f>+'Personel Listesi'!C1324</f>
        <v>0</v>
      </c>
    </row>
    <row r="1405" ht="12.75">
      <c r="M1405" s="61">
        <f>+'Personel Listesi'!C1325</f>
        <v>0</v>
      </c>
    </row>
    <row r="1406" ht="12.75">
      <c r="M1406" s="61">
        <f>+'Personel Listesi'!C1326</f>
        <v>0</v>
      </c>
    </row>
    <row r="1407" ht="12.75">
      <c r="M1407" s="61">
        <f>+'Personel Listesi'!C1327</f>
        <v>0</v>
      </c>
    </row>
    <row r="1408" ht="12.75">
      <c r="M1408" s="61">
        <f>+'Personel Listesi'!C1328</f>
        <v>0</v>
      </c>
    </row>
    <row r="1409" ht="12.75">
      <c r="M1409" s="61">
        <f>+'Personel Listesi'!C1329</f>
        <v>0</v>
      </c>
    </row>
    <row r="1410" ht="12.75">
      <c r="M1410" s="61">
        <f>+'Personel Listesi'!C1330</f>
        <v>0</v>
      </c>
    </row>
    <row r="1411" ht="12.75">
      <c r="M1411" s="61">
        <f>+'Personel Listesi'!C1331</f>
        <v>0</v>
      </c>
    </row>
    <row r="1412" ht="12.75">
      <c r="M1412" s="61">
        <f>+'Personel Listesi'!C1332</f>
        <v>0</v>
      </c>
    </row>
    <row r="1413" ht="12.75">
      <c r="M1413" s="61">
        <f>+'Personel Listesi'!C1333</f>
        <v>0</v>
      </c>
    </row>
    <row r="1414" ht="12.75">
      <c r="M1414" s="61">
        <f>+'Personel Listesi'!C1334</f>
        <v>0</v>
      </c>
    </row>
    <row r="1415" ht="12.75">
      <c r="M1415" s="61">
        <f>+'Personel Listesi'!C1335</f>
        <v>0</v>
      </c>
    </row>
    <row r="1416" ht="12.75">
      <c r="M1416" s="61">
        <f>+'Personel Listesi'!C1336</f>
        <v>0</v>
      </c>
    </row>
    <row r="1417" ht="12.75">
      <c r="M1417" s="61">
        <f>+'Personel Listesi'!C1337</f>
        <v>0</v>
      </c>
    </row>
    <row r="1418" ht="12.75">
      <c r="M1418" s="61">
        <f>+'Personel Listesi'!C1338</f>
        <v>0</v>
      </c>
    </row>
    <row r="1419" ht="12.75">
      <c r="M1419" s="61">
        <f>+'Personel Listesi'!C1339</f>
        <v>0</v>
      </c>
    </row>
    <row r="1420" ht="12.75">
      <c r="M1420" s="61">
        <f>+'Personel Listesi'!C1340</f>
        <v>0</v>
      </c>
    </row>
    <row r="1421" ht="12.75">
      <c r="M1421" s="61">
        <f>+'Personel Listesi'!C1341</f>
        <v>0</v>
      </c>
    </row>
    <row r="1422" ht="12.75">
      <c r="M1422" s="61">
        <f>+'Personel Listesi'!C1342</f>
        <v>0</v>
      </c>
    </row>
    <row r="1423" ht="12.75">
      <c r="M1423" s="61">
        <f>+'Personel Listesi'!C1343</f>
        <v>0</v>
      </c>
    </row>
    <row r="1424" ht="12.75">
      <c r="M1424" s="61">
        <f>+'Personel Listesi'!C1344</f>
        <v>0</v>
      </c>
    </row>
    <row r="1425" ht="12.75">
      <c r="M1425" s="61">
        <f>+'Personel Listesi'!C1345</f>
        <v>0</v>
      </c>
    </row>
    <row r="1426" ht="12.75">
      <c r="M1426" s="61">
        <f>+'Personel Listesi'!C1346</f>
        <v>0</v>
      </c>
    </row>
    <row r="1427" ht="12.75">
      <c r="M1427" s="61">
        <f>+'Personel Listesi'!C1347</f>
        <v>0</v>
      </c>
    </row>
    <row r="1428" ht="12.75">
      <c r="M1428" s="61">
        <f>+'Personel Listesi'!C1348</f>
        <v>0</v>
      </c>
    </row>
    <row r="1429" ht="12.75">
      <c r="M1429" s="61">
        <f>+'Personel Listesi'!C1349</f>
        <v>0</v>
      </c>
    </row>
    <row r="1430" ht="12.75">
      <c r="M1430" s="61">
        <f>+'Personel Listesi'!C1350</f>
        <v>0</v>
      </c>
    </row>
    <row r="1431" ht="12.75">
      <c r="M1431" s="61">
        <f>+'Personel Listesi'!C1351</f>
        <v>0</v>
      </c>
    </row>
    <row r="1432" ht="12.75">
      <c r="M1432" s="61">
        <f>+'Personel Listesi'!C1352</f>
        <v>0</v>
      </c>
    </row>
    <row r="1433" ht="12.75">
      <c r="M1433" s="61">
        <f>+'Personel Listesi'!C1353</f>
        <v>0</v>
      </c>
    </row>
    <row r="1434" ht="12.75">
      <c r="M1434" s="61">
        <f>+'Personel Listesi'!C1354</f>
        <v>0</v>
      </c>
    </row>
    <row r="1435" ht="12.75">
      <c r="M1435" s="61">
        <f>+'Personel Listesi'!C1355</f>
        <v>0</v>
      </c>
    </row>
    <row r="1436" ht="12.75">
      <c r="M1436" s="61">
        <f>+'Personel Listesi'!C1356</f>
        <v>0</v>
      </c>
    </row>
    <row r="1437" ht="12.75">
      <c r="M1437" s="61">
        <f>+'Personel Listesi'!C1357</f>
        <v>0</v>
      </c>
    </row>
    <row r="1438" ht="12.75">
      <c r="M1438" s="61">
        <f>+'Personel Listesi'!C1358</f>
        <v>0</v>
      </c>
    </row>
    <row r="1439" ht="12.75">
      <c r="M1439" s="61">
        <f>+'Personel Listesi'!C1359</f>
        <v>0</v>
      </c>
    </row>
    <row r="1440" ht="12.75">
      <c r="M1440" s="61">
        <f>+'Personel Listesi'!C1360</f>
        <v>0</v>
      </c>
    </row>
    <row r="1441" ht="12.75">
      <c r="M1441" s="61">
        <f>+'Personel Listesi'!C1361</f>
        <v>0</v>
      </c>
    </row>
    <row r="1442" ht="12.75">
      <c r="M1442" s="61">
        <f>+'Personel Listesi'!C1362</f>
        <v>0</v>
      </c>
    </row>
    <row r="1443" ht="12.75">
      <c r="M1443" s="61">
        <f>+'Personel Listesi'!C1363</f>
        <v>0</v>
      </c>
    </row>
    <row r="1444" ht="12.75">
      <c r="M1444" s="61">
        <f>+'Personel Listesi'!C1364</f>
        <v>0</v>
      </c>
    </row>
    <row r="1445" ht="12.75">
      <c r="M1445" s="61">
        <f>+'Personel Listesi'!C1365</f>
        <v>0</v>
      </c>
    </row>
    <row r="1446" ht="12.75">
      <c r="M1446" s="61">
        <f>+'Personel Listesi'!C1366</f>
        <v>0</v>
      </c>
    </row>
    <row r="1447" ht="12.75">
      <c r="M1447" s="61">
        <f>+'Personel Listesi'!C1367</f>
        <v>0</v>
      </c>
    </row>
    <row r="1448" ht="12.75">
      <c r="M1448" s="61">
        <f>+'Personel Listesi'!C1368</f>
        <v>0</v>
      </c>
    </row>
    <row r="1449" ht="12.75">
      <c r="M1449" s="61">
        <f>+'Personel Listesi'!C1369</f>
        <v>0</v>
      </c>
    </row>
    <row r="1450" ht="12.75">
      <c r="M1450" s="61">
        <f>+'Personel Listesi'!C1370</f>
        <v>0</v>
      </c>
    </row>
    <row r="1451" ht="12.75">
      <c r="M1451" s="61">
        <f>+'Personel Listesi'!C1371</f>
        <v>0</v>
      </c>
    </row>
    <row r="1452" ht="12.75">
      <c r="M1452" s="61">
        <f>+'Personel Listesi'!C1372</f>
        <v>0</v>
      </c>
    </row>
    <row r="1453" ht="12.75">
      <c r="M1453" s="61">
        <f>+'Personel Listesi'!C1373</f>
        <v>0</v>
      </c>
    </row>
    <row r="1454" ht="12.75">
      <c r="M1454" s="61">
        <f>+'Personel Listesi'!C1374</f>
        <v>0</v>
      </c>
    </row>
    <row r="1455" ht="12.75">
      <c r="M1455" s="61">
        <f>+'Personel Listesi'!C1375</f>
        <v>0</v>
      </c>
    </row>
    <row r="1456" ht="12.75">
      <c r="M1456" s="61">
        <f>+'Personel Listesi'!C1376</f>
        <v>0</v>
      </c>
    </row>
    <row r="1457" ht="12.75">
      <c r="M1457" s="61">
        <f>+'Personel Listesi'!C1377</f>
        <v>0</v>
      </c>
    </row>
    <row r="1458" ht="12.75">
      <c r="M1458" s="61">
        <f>+'Personel Listesi'!C1378</f>
        <v>0</v>
      </c>
    </row>
    <row r="1459" ht="12.75">
      <c r="M1459" s="61">
        <f>+'Personel Listesi'!C1379</f>
        <v>0</v>
      </c>
    </row>
    <row r="1460" ht="12.75">
      <c r="M1460" s="61">
        <f>+'Personel Listesi'!C1380</f>
        <v>0</v>
      </c>
    </row>
    <row r="1461" ht="12.75">
      <c r="M1461" s="61">
        <f>+'Personel Listesi'!C1381</f>
        <v>0</v>
      </c>
    </row>
    <row r="1462" ht="12.75">
      <c r="M1462" s="61">
        <f>+'Personel Listesi'!C1382</f>
        <v>0</v>
      </c>
    </row>
    <row r="1463" ht="12.75">
      <c r="M1463" s="61">
        <f>+'Personel Listesi'!C1383</f>
        <v>0</v>
      </c>
    </row>
    <row r="1464" ht="12.75">
      <c r="M1464" s="61">
        <f>+'Personel Listesi'!C1384</f>
        <v>0</v>
      </c>
    </row>
    <row r="1465" ht="12.75">
      <c r="M1465" s="61">
        <f>+'Personel Listesi'!C1385</f>
        <v>0</v>
      </c>
    </row>
    <row r="1466" ht="12.75">
      <c r="M1466" s="61">
        <f>+'Personel Listesi'!C1386</f>
        <v>0</v>
      </c>
    </row>
    <row r="1467" ht="12.75">
      <c r="M1467" s="61">
        <f>+'Personel Listesi'!C1387</f>
        <v>0</v>
      </c>
    </row>
    <row r="1468" ht="12.75">
      <c r="M1468" s="61">
        <f>+'Personel Listesi'!C1388</f>
        <v>0</v>
      </c>
    </row>
    <row r="1469" ht="12.75">
      <c r="M1469" s="61">
        <f>+'Personel Listesi'!C1389</f>
        <v>0</v>
      </c>
    </row>
    <row r="1470" ht="12.75">
      <c r="M1470" s="61">
        <f>+'Personel Listesi'!C1390</f>
        <v>0</v>
      </c>
    </row>
    <row r="1471" ht="12.75">
      <c r="M1471" s="61">
        <f>+'Personel Listesi'!C1391</f>
        <v>0</v>
      </c>
    </row>
    <row r="1472" ht="12.75">
      <c r="M1472" s="61">
        <f>+'Personel Listesi'!C1392</f>
        <v>0</v>
      </c>
    </row>
    <row r="1473" ht="12.75">
      <c r="M1473" s="61">
        <f>+'Personel Listesi'!C1393</f>
        <v>0</v>
      </c>
    </row>
    <row r="1474" ht="12.75">
      <c r="M1474" s="61">
        <f>+'Personel Listesi'!C1394</f>
        <v>0</v>
      </c>
    </row>
    <row r="1475" ht="12.75">
      <c r="M1475" s="61">
        <f>+'Personel Listesi'!C1395</f>
        <v>0</v>
      </c>
    </row>
    <row r="1476" ht="12.75">
      <c r="M1476" s="61">
        <f>+'Personel Listesi'!C1396</f>
        <v>0</v>
      </c>
    </row>
    <row r="1477" ht="12.75">
      <c r="M1477" s="61">
        <f>+'Personel Listesi'!C1397</f>
        <v>0</v>
      </c>
    </row>
    <row r="1478" ht="12.75">
      <c r="M1478" s="61">
        <f>+'Personel Listesi'!C1398</f>
        <v>0</v>
      </c>
    </row>
    <row r="1479" ht="12.75">
      <c r="M1479" s="61">
        <f>+'Personel Listesi'!C1399</f>
        <v>0</v>
      </c>
    </row>
    <row r="1480" ht="12.75">
      <c r="M1480" s="61">
        <f>+'Personel Listesi'!C1400</f>
        <v>0</v>
      </c>
    </row>
    <row r="1481" ht="12.75">
      <c r="M1481" s="61">
        <f>+'Personel Listesi'!C1401</f>
        <v>0</v>
      </c>
    </row>
    <row r="1482" ht="12.75">
      <c r="M1482" s="61">
        <f>+'Personel Listesi'!C1402</f>
        <v>0</v>
      </c>
    </row>
    <row r="1483" ht="12.75">
      <c r="M1483" s="61">
        <f>+'Personel Listesi'!C1403</f>
        <v>0</v>
      </c>
    </row>
    <row r="1484" ht="12.75">
      <c r="M1484" s="61">
        <f>+'Personel Listesi'!C1404</f>
        <v>0</v>
      </c>
    </row>
    <row r="1485" ht="12.75">
      <c r="M1485" s="61">
        <f>+'Personel Listesi'!C1405</f>
        <v>0</v>
      </c>
    </row>
    <row r="1486" ht="12.75">
      <c r="M1486" s="61">
        <f>+'Personel Listesi'!C1406</f>
        <v>0</v>
      </c>
    </row>
    <row r="1487" ht="12.75">
      <c r="M1487" s="61">
        <f>+'Personel Listesi'!C1407</f>
        <v>0</v>
      </c>
    </row>
    <row r="1488" ht="12.75">
      <c r="M1488" s="61">
        <f>+'Personel Listesi'!C1408</f>
        <v>0</v>
      </c>
    </row>
    <row r="1489" ht="12.75">
      <c r="M1489" s="61">
        <f>+'Personel Listesi'!C1409</f>
        <v>0</v>
      </c>
    </row>
    <row r="1490" ht="12.75">
      <c r="M1490" s="61">
        <f>+'Personel Listesi'!C1410</f>
        <v>0</v>
      </c>
    </row>
    <row r="1491" ht="12.75">
      <c r="M1491" s="61">
        <f>+'Personel Listesi'!C1411</f>
        <v>0</v>
      </c>
    </row>
    <row r="1492" ht="12.75">
      <c r="M1492" s="61">
        <f>+'Personel Listesi'!C1412</f>
        <v>0</v>
      </c>
    </row>
    <row r="1493" ht="12.75">
      <c r="M1493" s="61">
        <f>+'Personel Listesi'!C1413</f>
        <v>0</v>
      </c>
    </row>
    <row r="1494" ht="12.75">
      <c r="M1494" s="61">
        <f>+'Personel Listesi'!C1414</f>
        <v>0</v>
      </c>
    </row>
    <row r="1495" ht="12.75">
      <c r="M1495" s="61">
        <f>+'Personel Listesi'!C1415</f>
        <v>0</v>
      </c>
    </row>
    <row r="1496" ht="12.75">
      <c r="M1496" s="61">
        <f>+'Personel Listesi'!C1416</f>
        <v>0</v>
      </c>
    </row>
    <row r="1497" ht="12.75">
      <c r="M1497" s="61">
        <f>+'Personel Listesi'!C1417</f>
        <v>0</v>
      </c>
    </row>
    <row r="1498" ht="12.75">
      <c r="M1498" s="61">
        <f>+'Personel Listesi'!C1418</f>
        <v>0</v>
      </c>
    </row>
    <row r="1499" ht="12.75">
      <c r="M1499" s="61">
        <f>+'Personel Listesi'!C1419</f>
        <v>0</v>
      </c>
    </row>
    <row r="1500" ht="12.75">
      <c r="M1500" s="61">
        <f>+'Personel Listesi'!C1420</f>
        <v>0</v>
      </c>
    </row>
    <row r="1501" ht="12.75">
      <c r="M1501" s="61">
        <f>+'Personel Listesi'!C1421</f>
        <v>0</v>
      </c>
    </row>
    <row r="1502" ht="12.75">
      <c r="M1502" s="61">
        <f>+'Personel Listesi'!C1422</f>
        <v>0</v>
      </c>
    </row>
    <row r="1503" ht="12.75">
      <c r="M1503" s="61">
        <f>+'Personel Listesi'!C1423</f>
        <v>0</v>
      </c>
    </row>
    <row r="1504" ht="12.75">
      <c r="M1504" s="61">
        <f>+'Personel Listesi'!C1424</f>
        <v>0</v>
      </c>
    </row>
    <row r="1505" ht="12.75">
      <c r="M1505" s="61">
        <f>+'Personel Listesi'!C1425</f>
        <v>0</v>
      </c>
    </row>
    <row r="1506" ht="12.75">
      <c r="M1506" s="61">
        <f>+'Personel Listesi'!C1426</f>
        <v>0</v>
      </c>
    </row>
    <row r="1507" ht="12.75">
      <c r="M1507" s="61">
        <f>+'Personel Listesi'!C1427</f>
        <v>0</v>
      </c>
    </row>
    <row r="1508" ht="12.75">
      <c r="M1508" s="61">
        <f>+'Personel Listesi'!C1428</f>
        <v>0</v>
      </c>
    </row>
    <row r="1509" ht="12.75">
      <c r="M1509" s="61">
        <f>+'Personel Listesi'!C1429</f>
        <v>0</v>
      </c>
    </row>
    <row r="1510" ht="12.75">
      <c r="M1510" s="61">
        <f>+'Personel Listesi'!C1430</f>
        <v>0</v>
      </c>
    </row>
    <row r="1511" ht="12.75">
      <c r="M1511" s="61">
        <f>+'Personel Listesi'!C1431</f>
        <v>0</v>
      </c>
    </row>
    <row r="1512" ht="12.75">
      <c r="M1512" s="61">
        <f>+'Personel Listesi'!C1432</f>
        <v>0</v>
      </c>
    </row>
    <row r="1513" ht="12.75">
      <c r="M1513" s="61">
        <f>+'Personel Listesi'!C1433</f>
        <v>0</v>
      </c>
    </row>
    <row r="1514" ht="12.75">
      <c r="M1514" s="61">
        <f>+'Personel Listesi'!C1434</f>
        <v>0</v>
      </c>
    </row>
    <row r="1515" ht="12.75">
      <c r="M1515" s="61">
        <f>+'Personel Listesi'!C1435</f>
        <v>0</v>
      </c>
    </row>
    <row r="1516" ht="12.75">
      <c r="M1516" s="61">
        <f>+'Personel Listesi'!C1436</f>
        <v>0</v>
      </c>
    </row>
    <row r="1517" ht="12.75">
      <c r="M1517" s="61">
        <f>+'Personel Listesi'!C1437</f>
        <v>0</v>
      </c>
    </row>
    <row r="1518" ht="12.75">
      <c r="M1518" s="61">
        <f>+'Personel Listesi'!C1438</f>
        <v>0</v>
      </c>
    </row>
    <row r="1519" ht="12.75">
      <c r="M1519" s="61">
        <f>+'Personel Listesi'!C1439</f>
        <v>0</v>
      </c>
    </row>
    <row r="1520" ht="12.75">
      <c r="M1520" s="61">
        <f>+'Personel Listesi'!C1440</f>
        <v>0</v>
      </c>
    </row>
    <row r="1521" ht="12.75">
      <c r="M1521" s="61">
        <f>+'Personel Listesi'!C1441</f>
        <v>0</v>
      </c>
    </row>
    <row r="1522" ht="12.75">
      <c r="M1522" s="61">
        <f>+'Personel Listesi'!C1442</f>
        <v>0</v>
      </c>
    </row>
    <row r="1523" ht="12.75">
      <c r="M1523" s="61">
        <f>+'Personel Listesi'!C1443</f>
        <v>0</v>
      </c>
    </row>
    <row r="1524" ht="12.75">
      <c r="M1524" s="61">
        <f>+'Personel Listesi'!C1444</f>
        <v>0</v>
      </c>
    </row>
    <row r="1525" ht="12.75">
      <c r="M1525" s="61">
        <f>+'Personel Listesi'!C1445</f>
        <v>0</v>
      </c>
    </row>
    <row r="1526" ht="12.75">
      <c r="M1526" s="61">
        <f>+'Personel Listesi'!C1446</f>
        <v>0</v>
      </c>
    </row>
    <row r="1527" ht="12.75">
      <c r="M1527" s="61">
        <f>+'Personel Listesi'!C1447</f>
        <v>0</v>
      </c>
    </row>
    <row r="1528" ht="12.75">
      <c r="M1528" s="61">
        <f>+'Personel Listesi'!C1448</f>
        <v>0</v>
      </c>
    </row>
    <row r="1529" ht="12.75">
      <c r="M1529" s="61">
        <f>+'Personel Listesi'!C1449</f>
        <v>0</v>
      </c>
    </row>
    <row r="1530" ht="12.75">
      <c r="M1530" s="61">
        <f>+'Personel Listesi'!C1450</f>
        <v>0</v>
      </c>
    </row>
    <row r="1531" ht="12.75">
      <c r="M1531" s="61">
        <f>+'Personel Listesi'!C1451</f>
        <v>0</v>
      </c>
    </row>
    <row r="1532" ht="12.75">
      <c r="M1532" s="61">
        <f>+'Personel Listesi'!C1452</f>
        <v>0</v>
      </c>
    </row>
    <row r="1533" ht="12.75">
      <c r="M1533" s="61">
        <f>+'Personel Listesi'!C1453</f>
        <v>0</v>
      </c>
    </row>
    <row r="1534" ht="12.75">
      <c r="M1534" s="61">
        <f>+'Personel Listesi'!C1454</f>
        <v>0</v>
      </c>
    </row>
    <row r="1535" ht="12.75">
      <c r="M1535" s="61">
        <f>+'Personel Listesi'!C1455</f>
        <v>0</v>
      </c>
    </row>
    <row r="1536" ht="12.75">
      <c r="M1536" s="61">
        <f>+'Personel Listesi'!C1456</f>
        <v>0</v>
      </c>
    </row>
    <row r="1537" ht="12.75">
      <c r="M1537" s="61">
        <f>+'Personel Listesi'!C1457</f>
        <v>0</v>
      </c>
    </row>
    <row r="1538" ht="12.75">
      <c r="M1538" s="61">
        <f>+'Personel Listesi'!C1458</f>
        <v>0</v>
      </c>
    </row>
    <row r="1539" ht="12.75">
      <c r="M1539" s="61">
        <f>+'Personel Listesi'!C1459</f>
        <v>0</v>
      </c>
    </row>
    <row r="1540" ht="12.75">
      <c r="M1540" s="61">
        <f>+'Personel Listesi'!C1460</f>
        <v>0</v>
      </c>
    </row>
    <row r="1541" ht="12.75">
      <c r="M1541" s="61">
        <f>+'Personel Listesi'!C1461</f>
        <v>0</v>
      </c>
    </row>
    <row r="1542" ht="12.75">
      <c r="M1542" s="61">
        <f>+'Personel Listesi'!C1462</f>
        <v>0</v>
      </c>
    </row>
    <row r="1543" ht="12.75">
      <c r="M1543" s="61">
        <f>+'Personel Listesi'!C1463</f>
        <v>0</v>
      </c>
    </row>
    <row r="1544" ht="12.75">
      <c r="M1544" s="61">
        <f>+'Personel Listesi'!C1464</f>
        <v>0</v>
      </c>
    </row>
    <row r="1545" ht="12.75">
      <c r="M1545" s="61">
        <f>+'Personel Listesi'!C1465</f>
        <v>0</v>
      </c>
    </row>
    <row r="1546" ht="12.75">
      <c r="M1546" s="61">
        <f>+'Personel Listesi'!C1466</f>
        <v>0</v>
      </c>
    </row>
    <row r="1547" ht="12.75">
      <c r="M1547" s="61">
        <f>+'Personel Listesi'!C1467</f>
        <v>0</v>
      </c>
    </row>
    <row r="1548" ht="12.75">
      <c r="M1548" s="61">
        <f>+'Personel Listesi'!C1468</f>
        <v>0</v>
      </c>
    </row>
    <row r="1549" ht="12.75">
      <c r="M1549" s="61">
        <f>+'Personel Listesi'!C1469</f>
        <v>0</v>
      </c>
    </row>
    <row r="1550" ht="12.75">
      <c r="M1550" s="61">
        <f>+'Personel Listesi'!C1470</f>
        <v>0</v>
      </c>
    </row>
    <row r="1551" ht="12.75">
      <c r="M1551" s="61">
        <f>+'Personel Listesi'!C1471</f>
        <v>0</v>
      </c>
    </row>
    <row r="1552" ht="12.75">
      <c r="M1552" s="61">
        <f>+'Personel Listesi'!C1472</f>
        <v>0</v>
      </c>
    </row>
    <row r="1553" ht="12.75">
      <c r="M1553" s="61">
        <f>+'Personel Listesi'!C1473</f>
        <v>0</v>
      </c>
    </row>
    <row r="1554" ht="12.75">
      <c r="M1554" s="61">
        <f>+'Personel Listesi'!C1474</f>
        <v>0</v>
      </c>
    </row>
    <row r="1555" ht="12.75">
      <c r="M1555" s="61">
        <f>+'Personel Listesi'!C1475</f>
        <v>0</v>
      </c>
    </row>
    <row r="1556" ht="12.75">
      <c r="M1556" s="61">
        <f>+'Personel Listesi'!C1476</f>
        <v>0</v>
      </c>
    </row>
    <row r="1557" ht="12.75">
      <c r="M1557" s="61">
        <f>+'Personel Listesi'!C1477</f>
        <v>0</v>
      </c>
    </row>
    <row r="1558" ht="12.75">
      <c r="M1558" s="61">
        <f>+'Personel Listesi'!C1478</f>
        <v>0</v>
      </c>
    </row>
    <row r="1559" ht="12.75">
      <c r="M1559" s="61">
        <f>+'Personel Listesi'!C1479</f>
        <v>0</v>
      </c>
    </row>
    <row r="1560" ht="12.75">
      <c r="M1560" s="61">
        <f>+'Personel Listesi'!C1480</f>
        <v>0</v>
      </c>
    </row>
    <row r="1561" ht="12.75">
      <c r="M1561" s="61">
        <f>+'Personel Listesi'!C1481</f>
        <v>0</v>
      </c>
    </row>
    <row r="1562" ht="12.75">
      <c r="M1562" s="61">
        <f>+'Personel Listesi'!C1482</f>
        <v>0</v>
      </c>
    </row>
    <row r="1563" ht="12.75">
      <c r="M1563" s="61">
        <f>+'Personel Listesi'!C1483</f>
        <v>0</v>
      </c>
    </row>
    <row r="1564" ht="12.75">
      <c r="M1564" s="61">
        <f>+'Personel Listesi'!C1484</f>
        <v>0</v>
      </c>
    </row>
    <row r="1565" ht="12.75">
      <c r="M1565" s="61">
        <f>+'Personel Listesi'!C1485</f>
        <v>0</v>
      </c>
    </row>
    <row r="1566" ht="12.75">
      <c r="M1566" s="61">
        <f>+'Personel Listesi'!C1486</f>
        <v>0</v>
      </c>
    </row>
    <row r="1567" ht="12.75">
      <c r="M1567" s="61">
        <f>+'Personel Listesi'!C1487</f>
        <v>0</v>
      </c>
    </row>
    <row r="1568" ht="12.75">
      <c r="M1568" s="61">
        <f>+'Personel Listesi'!C1488</f>
        <v>0</v>
      </c>
    </row>
    <row r="1569" ht="12.75">
      <c r="M1569" s="61">
        <f>+'Personel Listesi'!C1489</f>
        <v>0</v>
      </c>
    </row>
    <row r="1570" ht="12.75">
      <c r="M1570" s="61">
        <f>+'Personel Listesi'!C1490</f>
        <v>0</v>
      </c>
    </row>
    <row r="1571" ht="12.75">
      <c r="M1571" s="61">
        <f>+'Personel Listesi'!C1491</f>
        <v>0</v>
      </c>
    </row>
    <row r="1572" ht="12.75">
      <c r="M1572" s="61">
        <f>+'Personel Listesi'!C1492</f>
        <v>0</v>
      </c>
    </row>
    <row r="1573" ht="12.75">
      <c r="M1573" s="61">
        <f>+'Personel Listesi'!C1493</f>
        <v>0</v>
      </c>
    </row>
    <row r="1574" ht="12.75">
      <c r="M1574" s="61">
        <f>+'Personel Listesi'!C1494</f>
        <v>0</v>
      </c>
    </row>
    <row r="1575" ht="12.75">
      <c r="M1575" s="61">
        <f>+'Personel Listesi'!C1495</f>
        <v>0</v>
      </c>
    </row>
    <row r="1576" ht="12.75">
      <c r="M1576" s="61">
        <f>+'Personel Listesi'!C1496</f>
        <v>0</v>
      </c>
    </row>
    <row r="1577" ht="12.75">
      <c r="M1577" s="61">
        <f>+'Personel Listesi'!C1497</f>
        <v>0</v>
      </c>
    </row>
    <row r="1578" ht="12.75">
      <c r="M1578" s="61">
        <f>+'Personel Listesi'!C1498</f>
        <v>0</v>
      </c>
    </row>
    <row r="1579" ht="12.75">
      <c r="M1579" s="61">
        <f>+'Personel Listesi'!C1499</f>
        <v>0</v>
      </c>
    </row>
    <row r="1580" ht="12.75">
      <c r="M1580" s="61">
        <f>+'Personel Listesi'!C1500</f>
        <v>0</v>
      </c>
    </row>
    <row r="1581" ht="12.75">
      <c r="M1581" s="61">
        <f>+'Personel Listesi'!C1501</f>
        <v>0</v>
      </c>
    </row>
    <row r="1582" ht="12.75">
      <c r="M1582" s="61">
        <f>+'Personel Listesi'!C1502</f>
        <v>0</v>
      </c>
    </row>
    <row r="1583" ht="12.75">
      <c r="M1583" s="61">
        <f>+'Personel Listesi'!C1503</f>
        <v>0</v>
      </c>
    </row>
    <row r="1584" ht="12.75">
      <c r="M1584" s="61">
        <f>+'Personel Listesi'!C1504</f>
        <v>0</v>
      </c>
    </row>
    <row r="1585" ht="12.75">
      <c r="M1585" s="61">
        <f>+'Personel Listesi'!C1505</f>
        <v>0</v>
      </c>
    </row>
    <row r="1586" ht="12.75">
      <c r="M1586" s="61">
        <f>+'Personel Listesi'!C1506</f>
        <v>0</v>
      </c>
    </row>
    <row r="1587" ht="12.75">
      <c r="M1587" s="61">
        <f>+'Personel Listesi'!C1507</f>
        <v>0</v>
      </c>
    </row>
    <row r="1588" ht="12.75">
      <c r="M1588" s="61">
        <f>+'Personel Listesi'!C1508</f>
        <v>0</v>
      </c>
    </row>
    <row r="1589" ht="12.75">
      <c r="M1589" s="61">
        <f>+'Personel Listesi'!C1509</f>
        <v>0</v>
      </c>
    </row>
    <row r="1590" ht="12.75">
      <c r="M1590" s="61">
        <f>+'Personel Listesi'!C1510</f>
        <v>0</v>
      </c>
    </row>
    <row r="1591" ht="12.75">
      <c r="M1591" s="61">
        <f>+'Personel Listesi'!C1511</f>
        <v>0</v>
      </c>
    </row>
    <row r="1592" ht="12.75">
      <c r="M1592" s="61">
        <f>+'Personel Listesi'!C1512</f>
        <v>0</v>
      </c>
    </row>
    <row r="1593" ht="12.75">
      <c r="M1593" s="61">
        <f>+'Personel Listesi'!C1513</f>
        <v>0</v>
      </c>
    </row>
    <row r="1594" ht="12.75">
      <c r="M1594" s="61">
        <f>+'Personel Listesi'!C1514</f>
        <v>0</v>
      </c>
    </row>
    <row r="1595" ht="12.75">
      <c r="M1595" s="61">
        <f>+'Personel Listesi'!C1515</f>
        <v>0</v>
      </c>
    </row>
    <row r="1596" ht="12.75">
      <c r="M1596" s="61">
        <f>+'Personel Listesi'!C1516</f>
        <v>0</v>
      </c>
    </row>
    <row r="1597" ht="12.75">
      <c r="M1597" s="61">
        <f>+'Personel Listesi'!C1517</f>
        <v>0</v>
      </c>
    </row>
    <row r="1598" ht="12.75">
      <c r="M1598" s="61">
        <f>+'Personel Listesi'!C1518</f>
        <v>0</v>
      </c>
    </row>
    <row r="1599" ht="12.75">
      <c r="M1599" s="61">
        <f>+'Personel Listesi'!C1519</f>
        <v>0</v>
      </c>
    </row>
    <row r="1600" ht="12.75">
      <c r="M1600" s="61">
        <f>+'Personel Listesi'!C1520</f>
        <v>0</v>
      </c>
    </row>
    <row r="1601" ht="12.75">
      <c r="M1601" s="61">
        <f>+'Personel Listesi'!C1521</f>
        <v>0</v>
      </c>
    </row>
    <row r="1602" ht="12.75">
      <c r="M1602" s="61">
        <f>+'Personel Listesi'!C1522</f>
        <v>0</v>
      </c>
    </row>
    <row r="1603" ht="12.75">
      <c r="M1603" s="61">
        <f>+'Personel Listesi'!C1523</f>
        <v>0</v>
      </c>
    </row>
    <row r="1604" ht="12.75">
      <c r="M1604" s="61">
        <f>+'Personel Listesi'!C1524</f>
        <v>0</v>
      </c>
    </row>
    <row r="1605" ht="12.75">
      <c r="M1605" s="61">
        <f>+'Personel Listesi'!C1525</f>
        <v>0</v>
      </c>
    </row>
    <row r="1606" ht="12.75">
      <c r="M1606" s="61">
        <f>+'Personel Listesi'!C1526</f>
        <v>0</v>
      </c>
    </row>
    <row r="1607" ht="12.75">
      <c r="M1607" s="61">
        <f>+'Personel Listesi'!C1527</f>
        <v>0</v>
      </c>
    </row>
    <row r="1608" ht="12.75">
      <c r="M1608" s="61">
        <f>+'Personel Listesi'!C1528</f>
        <v>0</v>
      </c>
    </row>
    <row r="1609" ht="12.75">
      <c r="M1609" s="61">
        <f>+'Personel Listesi'!C1529</f>
        <v>0</v>
      </c>
    </row>
    <row r="1610" ht="12.75">
      <c r="M1610" s="61">
        <f>+'Personel Listesi'!C1530</f>
        <v>0</v>
      </c>
    </row>
    <row r="1611" ht="12.75">
      <c r="M1611" s="61">
        <f>+'Personel Listesi'!C1531</f>
        <v>0</v>
      </c>
    </row>
    <row r="1612" ht="12.75">
      <c r="M1612" s="61">
        <f>+'Personel Listesi'!C1532</f>
        <v>0</v>
      </c>
    </row>
    <row r="1613" ht="12.75">
      <c r="M1613" s="61">
        <f>+'Personel Listesi'!C1533</f>
        <v>0</v>
      </c>
    </row>
    <row r="1614" ht="12.75">
      <c r="M1614" s="61">
        <f>+'Personel Listesi'!C1534</f>
        <v>0</v>
      </c>
    </row>
    <row r="1615" ht="12.75">
      <c r="M1615" s="61">
        <f>+'Personel Listesi'!C1535</f>
        <v>0</v>
      </c>
    </row>
    <row r="1616" ht="12.75">
      <c r="M1616" s="61">
        <f>+'Personel Listesi'!C1536</f>
        <v>0</v>
      </c>
    </row>
    <row r="1617" ht="12.75">
      <c r="M1617" s="61">
        <f>+'Personel Listesi'!C1537</f>
        <v>0</v>
      </c>
    </row>
    <row r="1618" ht="12.75">
      <c r="M1618" s="61">
        <f>+'Personel Listesi'!C1538</f>
        <v>0</v>
      </c>
    </row>
    <row r="1619" ht="12.75">
      <c r="M1619" s="61">
        <f>+'Personel Listesi'!C1539</f>
        <v>0</v>
      </c>
    </row>
    <row r="1620" ht="12.75">
      <c r="M1620" s="61">
        <f>+'Personel Listesi'!C1540</f>
        <v>0</v>
      </c>
    </row>
    <row r="1621" ht="12.75">
      <c r="M1621" s="61">
        <f>+'Personel Listesi'!C1541</f>
        <v>0</v>
      </c>
    </row>
    <row r="1622" ht="12.75">
      <c r="M1622" s="61">
        <f>+'Personel Listesi'!C1542</f>
        <v>0</v>
      </c>
    </row>
    <row r="1623" ht="12.75">
      <c r="M1623" s="61">
        <f>+'Personel Listesi'!C1543</f>
        <v>0</v>
      </c>
    </row>
    <row r="1624" ht="12.75">
      <c r="M1624" s="61">
        <f>+'Personel Listesi'!C1544</f>
        <v>0</v>
      </c>
    </row>
    <row r="1625" ht="12.75">
      <c r="M1625" s="61">
        <f>+'Personel Listesi'!C1545</f>
        <v>0</v>
      </c>
    </row>
    <row r="1626" ht="12.75">
      <c r="M1626" s="61">
        <f>+'Personel Listesi'!C1546</f>
        <v>0</v>
      </c>
    </row>
    <row r="1627" ht="12.75">
      <c r="M1627" s="61">
        <f>+'Personel Listesi'!C1547</f>
        <v>0</v>
      </c>
    </row>
    <row r="1628" ht="12.75">
      <c r="M1628" s="61">
        <f>+'Personel Listesi'!C1548</f>
        <v>0</v>
      </c>
    </row>
    <row r="1629" ht="12.75">
      <c r="M1629" s="61">
        <f>+'Personel Listesi'!C1549</f>
        <v>0</v>
      </c>
    </row>
    <row r="1630" ht="12.75">
      <c r="M1630" s="61">
        <f>+'Personel Listesi'!C1550</f>
        <v>0</v>
      </c>
    </row>
    <row r="1631" ht="12.75">
      <c r="M1631" s="61">
        <f>+'Personel Listesi'!C1551</f>
        <v>0</v>
      </c>
    </row>
    <row r="1632" ht="12.75">
      <c r="M1632" s="61">
        <f>+'Personel Listesi'!C1552</f>
        <v>0</v>
      </c>
    </row>
    <row r="1633" ht="12.75">
      <c r="M1633" s="61">
        <f>+'Personel Listesi'!C1553</f>
        <v>0</v>
      </c>
    </row>
    <row r="1634" ht="12.75">
      <c r="M1634" s="61">
        <f>+'Personel Listesi'!C1554</f>
        <v>0</v>
      </c>
    </row>
    <row r="1635" ht="12.75">
      <c r="M1635" s="61">
        <f>+'Personel Listesi'!C1555</f>
        <v>0</v>
      </c>
    </row>
    <row r="1636" ht="12.75">
      <c r="M1636" s="61">
        <f>+'Personel Listesi'!C1556</f>
        <v>0</v>
      </c>
    </row>
    <row r="1637" ht="12.75">
      <c r="M1637" s="61">
        <f>+'Personel Listesi'!C1557</f>
        <v>0</v>
      </c>
    </row>
    <row r="1638" ht="12.75">
      <c r="M1638" s="61">
        <f>+'Personel Listesi'!C1558</f>
        <v>0</v>
      </c>
    </row>
    <row r="1639" ht="12.75">
      <c r="M1639" s="61">
        <f>+'Personel Listesi'!C1559</f>
        <v>0</v>
      </c>
    </row>
    <row r="1640" ht="12.75">
      <c r="M1640" s="61">
        <f>+'Personel Listesi'!C1560</f>
        <v>0</v>
      </c>
    </row>
    <row r="1641" ht="12.75">
      <c r="M1641" s="61">
        <f>+'Personel Listesi'!C1561</f>
        <v>0</v>
      </c>
    </row>
    <row r="1642" ht="12.75">
      <c r="M1642" s="61">
        <f>+'Personel Listesi'!C1562</f>
        <v>0</v>
      </c>
    </row>
    <row r="1643" ht="12.75">
      <c r="M1643" s="61">
        <f>+'Personel Listesi'!C1563</f>
        <v>0</v>
      </c>
    </row>
    <row r="1644" ht="12.75">
      <c r="M1644" s="61">
        <f>+'Personel Listesi'!C1564</f>
        <v>0</v>
      </c>
    </row>
    <row r="1645" ht="12.75">
      <c r="M1645" s="61">
        <f>+'Personel Listesi'!C1565</f>
        <v>0</v>
      </c>
    </row>
    <row r="1646" ht="12.75">
      <c r="M1646" s="61">
        <f>+'Personel Listesi'!C1566</f>
        <v>0</v>
      </c>
    </row>
    <row r="1647" ht="12.75">
      <c r="M1647" s="61">
        <f>+'Personel Listesi'!C1567</f>
        <v>0</v>
      </c>
    </row>
    <row r="1648" ht="12.75">
      <c r="M1648" s="61">
        <f>+'Personel Listesi'!C1568</f>
        <v>0</v>
      </c>
    </row>
    <row r="1649" ht="12.75">
      <c r="M1649" s="61">
        <f>+'Personel Listesi'!C1569</f>
        <v>0</v>
      </c>
    </row>
    <row r="1650" ht="12.75">
      <c r="M1650" s="61">
        <f>+'Personel Listesi'!C1570</f>
        <v>0</v>
      </c>
    </row>
    <row r="1651" ht="12.75">
      <c r="M1651" s="61">
        <f>+'Personel Listesi'!C1571</f>
        <v>0</v>
      </c>
    </row>
    <row r="1652" ht="12.75">
      <c r="M1652" s="61">
        <f>+'Personel Listesi'!C1572</f>
        <v>0</v>
      </c>
    </row>
    <row r="1653" ht="12.75">
      <c r="M1653" s="61">
        <f>+'Personel Listesi'!C1573</f>
        <v>0</v>
      </c>
    </row>
    <row r="1654" ht="12.75">
      <c r="M1654" s="61">
        <f>+'Personel Listesi'!C1574</f>
        <v>0</v>
      </c>
    </row>
    <row r="1655" ht="12.75">
      <c r="M1655" s="61">
        <f>+'Personel Listesi'!C1575</f>
        <v>0</v>
      </c>
    </row>
    <row r="1656" ht="12.75">
      <c r="M1656" s="61">
        <f>+'Personel Listesi'!C1576</f>
        <v>0</v>
      </c>
    </row>
    <row r="1657" ht="12.75">
      <c r="M1657" s="61">
        <f>+'Personel Listesi'!C1577</f>
        <v>0</v>
      </c>
    </row>
    <row r="1658" ht="12.75">
      <c r="M1658" s="61">
        <f>+'Personel Listesi'!C1578</f>
        <v>0</v>
      </c>
    </row>
    <row r="1659" ht="12.75">
      <c r="M1659" s="61">
        <f>+'Personel Listesi'!C1579</f>
        <v>0</v>
      </c>
    </row>
    <row r="1660" ht="12.75">
      <c r="M1660" s="61">
        <f>+'Personel Listesi'!C1580</f>
        <v>0</v>
      </c>
    </row>
    <row r="1661" ht="12.75">
      <c r="M1661" s="61">
        <f>+'Personel Listesi'!C1581</f>
        <v>0</v>
      </c>
    </row>
    <row r="1662" ht="12.75">
      <c r="M1662" s="61">
        <f>+'Personel Listesi'!C1582</f>
        <v>0</v>
      </c>
    </row>
    <row r="1663" ht="12.75">
      <c r="M1663" s="61">
        <f>+'Personel Listesi'!C1583</f>
        <v>0</v>
      </c>
    </row>
    <row r="1664" ht="12.75">
      <c r="M1664" s="61">
        <f>+'Personel Listesi'!C1584</f>
        <v>0</v>
      </c>
    </row>
    <row r="1665" ht="12.75">
      <c r="M1665" s="61">
        <f>+'Personel Listesi'!C1585</f>
        <v>0</v>
      </c>
    </row>
    <row r="1666" ht="12.75">
      <c r="M1666" s="61">
        <f>+'Personel Listesi'!C1586</f>
        <v>0</v>
      </c>
    </row>
    <row r="1667" ht="12.75">
      <c r="M1667" s="61">
        <f>+'Personel Listesi'!C1587</f>
        <v>0</v>
      </c>
    </row>
    <row r="1668" ht="12.75">
      <c r="M1668" s="61">
        <f>+'Personel Listesi'!C1588</f>
        <v>0</v>
      </c>
    </row>
    <row r="1669" ht="12.75">
      <c r="M1669" s="61">
        <f>+'Personel Listesi'!C1589</f>
        <v>0</v>
      </c>
    </row>
    <row r="1670" ht="12.75">
      <c r="M1670" s="61">
        <f>+'Personel Listesi'!C1590</f>
        <v>0</v>
      </c>
    </row>
    <row r="1671" ht="12.75">
      <c r="M1671" s="61">
        <f>+'Personel Listesi'!C1591</f>
        <v>0</v>
      </c>
    </row>
    <row r="1672" ht="12.75">
      <c r="M1672" s="61">
        <f>+'Personel Listesi'!C1592</f>
        <v>0</v>
      </c>
    </row>
    <row r="1673" ht="12.75">
      <c r="M1673" s="61">
        <f>+'Personel Listesi'!C1593</f>
        <v>0</v>
      </c>
    </row>
    <row r="1674" ht="12.75">
      <c r="M1674" s="61">
        <f>+'Personel Listesi'!C1594</f>
        <v>0</v>
      </c>
    </row>
    <row r="1675" ht="12.75">
      <c r="M1675" s="61">
        <f>+'Personel Listesi'!C1595</f>
        <v>0</v>
      </c>
    </row>
    <row r="1676" ht="12.75">
      <c r="M1676" s="61">
        <f>+'Personel Listesi'!C1596</f>
        <v>0</v>
      </c>
    </row>
    <row r="1677" ht="12.75">
      <c r="M1677" s="61">
        <f>+'Personel Listesi'!C1597</f>
        <v>0</v>
      </c>
    </row>
    <row r="1678" ht="12.75">
      <c r="M1678" s="61">
        <f>+'Personel Listesi'!C1598</f>
        <v>0</v>
      </c>
    </row>
    <row r="1679" ht="12.75">
      <c r="M1679" s="61">
        <f>+'Personel Listesi'!C1599</f>
        <v>0</v>
      </c>
    </row>
    <row r="1680" ht="12.75">
      <c r="M1680" s="61">
        <f>+'Personel Listesi'!C1600</f>
        <v>0</v>
      </c>
    </row>
    <row r="1681" ht="12.75">
      <c r="M1681" s="61">
        <f>+'Personel Listesi'!C1601</f>
        <v>0</v>
      </c>
    </row>
    <row r="1682" ht="12.75">
      <c r="M1682" s="61">
        <f>+'Personel Listesi'!C1602</f>
        <v>0</v>
      </c>
    </row>
    <row r="1683" ht="12.75">
      <c r="M1683" s="61">
        <f>+'Personel Listesi'!C1603</f>
        <v>0</v>
      </c>
    </row>
    <row r="1684" ht="12.75">
      <c r="M1684" s="61">
        <f>+'Personel Listesi'!C1604</f>
        <v>0</v>
      </c>
    </row>
    <row r="1685" ht="12.75">
      <c r="M1685" s="61">
        <f>+'Personel Listesi'!C1605</f>
        <v>0</v>
      </c>
    </row>
    <row r="1686" ht="12.75">
      <c r="M1686" s="61">
        <f>+'Personel Listesi'!C1606</f>
        <v>0</v>
      </c>
    </row>
    <row r="1687" ht="12.75">
      <c r="M1687" s="61">
        <f>+'Personel Listesi'!C1607</f>
        <v>0</v>
      </c>
    </row>
    <row r="1688" ht="12.75">
      <c r="M1688" s="61">
        <f>+'Personel Listesi'!C1608</f>
        <v>0</v>
      </c>
    </row>
    <row r="1689" ht="12.75">
      <c r="M1689" s="61">
        <f>+'Personel Listesi'!C1609</f>
        <v>0</v>
      </c>
    </row>
    <row r="1690" ht="12.75">
      <c r="M1690" s="61">
        <f>+'Personel Listesi'!C1610</f>
        <v>0</v>
      </c>
    </row>
    <row r="1691" ht="12.75">
      <c r="M1691" s="61">
        <f>+'Personel Listesi'!C1611</f>
        <v>0</v>
      </c>
    </row>
    <row r="1692" ht="12.75">
      <c r="M1692" s="61">
        <f>+'Personel Listesi'!C1612</f>
        <v>0</v>
      </c>
    </row>
    <row r="1693" ht="12.75">
      <c r="M1693" s="61">
        <f>+'Personel Listesi'!C1613</f>
        <v>0</v>
      </c>
    </row>
    <row r="1694" ht="12.75">
      <c r="M1694" s="61">
        <f>+'Personel Listesi'!C1614</f>
        <v>0</v>
      </c>
    </row>
    <row r="1695" ht="12.75">
      <c r="M1695" s="61">
        <f>+'Personel Listesi'!C1615</f>
        <v>0</v>
      </c>
    </row>
    <row r="1696" ht="12.75">
      <c r="M1696" s="61">
        <f>+'Personel Listesi'!C1616</f>
        <v>0</v>
      </c>
    </row>
    <row r="1697" ht="12.75">
      <c r="M1697" s="61">
        <f>+'Personel Listesi'!C1617</f>
        <v>0</v>
      </c>
    </row>
    <row r="1698" ht="12.75">
      <c r="M1698" s="61">
        <f>+'Personel Listesi'!C1618</f>
        <v>0</v>
      </c>
    </row>
    <row r="1699" ht="12.75">
      <c r="M1699" s="61">
        <f>+'Personel Listesi'!C1619</f>
        <v>0</v>
      </c>
    </row>
    <row r="1700" ht="12.75">
      <c r="M1700" s="61">
        <f>+'Personel Listesi'!C1620</f>
        <v>0</v>
      </c>
    </row>
    <row r="1701" ht="12.75">
      <c r="M1701" s="61">
        <f>+'Personel Listesi'!C1621</f>
        <v>0</v>
      </c>
    </row>
    <row r="1702" ht="12.75">
      <c r="M1702" s="61">
        <f>+'Personel Listesi'!C1622</f>
        <v>0</v>
      </c>
    </row>
    <row r="1703" ht="12.75">
      <c r="M1703" s="61">
        <f>+'Personel Listesi'!C1623</f>
        <v>0</v>
      </c>
    </row>
    <row r="1704" ht="12.75">
      <c r="M1704" s="61">
        <f>+'Personel Listesi'!C1624</f>
        <v>0</v>
      </c>
    </row>
    <row r="1705" ht="12.75">
      <c r="M1705" s="61">
        <f>+'Personel Listesi'!C1625</f>
        <v>0</v>
      </c>
    </row>
    <row r="1706" ht="12.75">
      <c r="M1706" s="61">
        <f>+'Personel Listesi'!C1626</f>
        <v>0</v>
      </c>
    </row>
    <row r="1707" ht="12.75">
      <c r="M1707" s="61">
        <f>+'Personel Listesi'!C1627</f>
        <v>0</v>
      </c>
    </row>
    <row r="1708" ht="12.75">
      <c r="M1708" s="61">
        <f>+'Personel Listesi'!C1628</f>
        <v>0</v>
      </c>
    </row>
    <row r="1709" ht="12.75">
      <c r="M1709" s="61">
        <f>+'Personel Listesi'!C1629</f>
        <v>0</v>
      </c>
    </row>
    <row r="1710" ht="12.75">
      <c r="M1710" s="61">
        <f>+'Personel Listesi'!C1630</f>
        <v>0</v>
      </c>
    </row>
    <row r="1711" ht="12.75">
      <c r="M1711" s="61">
        <f>+'Personel Listesi'!C1631</f>
        <v>0</v>
      </c>
    </row>
    <row r="1712" ht="12.75">
      <c r="M1712" s="61">
        <f>+'Personel Listesi'!C1632</f>
        <v>0</v>
      </c>
    </row>
    <row r="1713" ht="12.75">
      <c r="M1713" s="61">
        <f>+'Personel Listesi'!C1633</f>
        <v>0</v>
      </c>
    </row>
    <row r="1714" ht="12.75">
      <c r="M1714" s="61">
        <f>+'Personel Listesi'!C1634</f>
        <v>0</v>
      </c>
    </row>
    <row r="1715" ht="12.75">
      <c r="M1715" s="61">
        <f>+'Personel Listesi'!C1635</f>
        <v>0</v>
      </c>
    </row>
    <row r="1716" ht="12.75">
      <c r="M1716" s="61">
        <f>+'Personel Listesi'!C1636</f>
        <v>0</v>
      </c>
    </row>
    <row r="1717" ht="12.75">
      <c r="M1717" s="61">
        <f>+'Personel Listesi'!C1637</f>
        <v>0</v>
      </c>
    </row>
    <row r="1718" ht="12.75">
      <c r="M1718" s="61">
        <f>+'Personel Listesi'!C1638</f>
        <v>0</v>
      </c>
    </row>
    <row r="1719" ht="12.75">
      <c r="M1719" s="61">
        <f>+'Personel Listesi'!C1639</f>
        <v>0</v>
      </c>
    </row>
    <row r="1720" ht="12.75">
      <c r="M1720" s="61">
        <f>+'Personel Listesi'!C1640</f>
        <v>0</v>
      </c>
    </row>
    <row r="1721" ht="12.75">
      <c r="M1721" s="61">
        <f>+'Personel Listesi'!C1641</f>
        <v>0</v>
      </c>
    </row>
    <row r="1722" ht="12.75">
      <c r="M1722" s="61">
        <f>+'Personel Listesi'!C1642</f>
        <v>0</v>
      </c>
    </row>
    <row r="1723" ht="12.75">
      <c r="M1723" s="61">
        <f>+'Personel Listesi'!C1643</f>
        <v>0</v>
      </c>
    </row>
    <row r="1724" ht="12.75">
      <c r="M1724" s="61">
        <f>+'Personel Listesi'!C1644</f>
        <v>0</v>
      </c>
    </row>
    <row r="1725" ht="12.75">
      <c r="M1725" s="61">
        <f>+'Personel Listesi'!C1645</f>
        <v>0</v>
      </c>
    </row>
    <row r="1726" ht="12.75">
      <c r="M1726" s="61">
        <f>+'Personel Listesi'!C1646</f>
        <v>0</v>
      </c>
    </row>
    <row r="1727" ht="12.75">
      <c r="M1727" s="61">
        <f>+'Personel Listesi'!C1647</f>
        <v>0</v>
      </c>
    </row>
    <row r="1728" ht="12.75">
      <c r="M1728" s="61">
        <f>+'Personel Listesi'!C1648</f>
        <v>0</v>
      </c>
    </row>
    <row r="1729" ht="12.75">
      <c r="M1729" s="61">
        <f>+'Personel Listesi'!C1649</f>
        <v>0</v>
      </c>
    </row>
    <row r="1730" ht="12.75">
      <c r="M1730" s="61">
        <f>+'Personel Listesi'!C1650</f>
        <v>0</v>
      </c>
    </row>
    <row r="1731" ht="12.75">
      <c r="M1731" s="61">
        <f>+'Personel Listesi'!C1651</f>
        <v>0</v>
      </c>
    </row>
    <row r="1732" ht="12.75">
      <c r="M1732" s="61">
        <f>+'Personel Listesi'!C1652</f>
        <v>0</v>
      </c>
    </row>
    <row r="1733" ht="12.75">
      <c r="M1733" s="61">
        <f>+'Personel Listesi'!C1653</f>
        <v>0</v>
      </c>
    </row>
    <row r="1734" ht="12.75">
      <c r="M1734" s="61">
        <f>+'Personel Listesi'!C1654</f>
        <v>0</v>
      </c>
    </row>
    <row r="1735" ht="12.75">
      <c r="M1735" s="61">
        <f>+'Personel Listesi'!C1655</f>
        <v>0</v>
      </c>
    </row>
    <row r="1736" ht="12.75">
      <c r="M1736" s="61">
        <f>+'Personel Listesi'!C1656</f>
        <v>0</v>
      </c>
    </row>
    <row r="1737" ht="12.75">
      <c r="M1737" s="61">
        <f>+'Personel Listesi'!C1657</f>
        <v>0</v>
      </c>
    </row>
    <row r="1738" ht="12.75">
      <c r="M1738" s="61">
        <f>+'Personel Listesi'!C1658</f>
        <v>0</v>
      </c>
    </row>
    <row r="1739" ht="12.75">
      <c r="M1739" s="61">
        <f>+'Personel Listesi'!C1659</f>
        <v>0</v>
      </c>
    </row>
    <row r="1740" ht="12.75">
      <c r="M1740" s="61">
        <f>+'Personel Listesi'!C1660</f>
        <v>0</v>
      </c>
    </row>
    <row r="1741" ht="12.75">
      <c r="M1741" s="61">
        <f>+'Personel Listesi'!C1661</f>
        <v>0</v>
      </c>
    </row>
    <row r="1742" ht="12.75">
      <c r="M1742" s="61">
        <f>+'Personel Listesi'!C1662</f>
        <v>0</v>
      </c>
    </row>
    <row r="1743" ht="12.75">
      <c r="M1743" s="61">
        <f>+'Personel Listesi'!C1663</f>
        <v>0</v>
      </c>
    </row>
    <row r="1744" ht="12.75">
      <c r="M1744" s="61">
        <f>+'Personel Listesi'!C1664</f>
        <v>0</v>
      </c>
    </row>
    <row r="1745" ht="12.75">
      <c r="M1745" s="61">
        <f>+'Personel Listesi'!C1665</f>
        <v>0</v>
      </c>
    </row>
    <row r="1746" ht="12.75">
      <c r="M1746" s="61">
        <f>+'Personel Listesi'!C1666</f>
        <v>0</v>
      </c>
    </row>
    <row r="1747" ht="12.75">
      <c r="M1747" s="61">
        <f>+'Personel Listesi'!C1667</f>
        <v>0</v>
      </c>
    </row>
    <row r="1748" ht="12.75">
      <c r="M1748" s="61">
        <f>+'Personel Listesi'!C1668</f>
        <v>0</v>
      </c>
    </row>
    <row r="1749" ht="12.75">
      <c r="M1749" s="61">
        <f>+'Personel Listesi'!C1669</f>
        <v>0</v>
      </c>
    </row>
    <row r="1750" ht="12.75">
      <c r="M1750" s="61">
        <f>+'Personel Listesi'!C1670</f>
        <v>0</v>
      </c>
    </row>
    <row r="1751" ht="12.75">
      <c r="M1751" s="61">
        <f>+'Personel Listesi'!C1671</f>
        <v>0</v>
      </c>
    </row>
    <row r="1752" ht="12.75">
      <c r="M1752" s="61">
        <f>+'Personel Listesi'!C1672</f>
        <v>0</v>
      </c>
    </row>
    <row r="1753" ht="12.75">
      <c r="M1753" s="61">
        <f>+'Personel Listesi'!C1673</f>
        <v>0</v>
      </c>
    </row>
    <row r="1754" ht="12.75">
      <c r="M1754" s="61">
        <f>+'Personel Listesi'!C1674</f>
        <v>0</v>
      </c>
    </row>
    <row r="1755" ht="12.75">
      <c r="M1755" s="61">
        <f>+'Personel Listesi'!C1675</f>
        <v>0</v>
      </c>
    </row>
    <row r="1756" ht="12.75">
      <c r="M1756" s="61">
        <f>+'Personel Listesi'!C1676</f>
        <v>0</v>
      </c>
    </row>
    <row r="1757" ht="12.75">
      <c r="M1757" s="61">
        <f>+'Personel Listesi'!C1677</f>
        <v>0</v>
      </c>
    </row>
    <row r="1758" ht="12.75">
      <c r="M1758" s="61">
        <f>+'Personel Listesi'!C1678</f>
        <v>0</v>
      </c>
    </row>
    <row r="1759" ht="12.75">
      <c r="M1759" s="61">
        <f>+'Personel Listesi'!C1679</f>
        <v>0</v>
      </c>
    </row>
    <row r="1760" ht="12.75">
      <c r="M1760" s="61">
        <f>+'Personel Listesi'!C1680</f>
        <v>0</v>
      </c>
    </row>
    <row r="1761" ht="12.75">
      <c r="M1761" s="61">
        <f>+'Personel Listesi'!C1681</f>
        <v>0</v>
      </c>
    </row>
    <row r="1762" ht="12.75">
      <c r="M1762" s="61">
        <f>+'Personel Listesi'!C1682</f>
        <v>0</v>
      </c>
    </row>
    <row r="1763" ht="12.75">
      <c r="M1763" s="61">
        <f>+'Personel Listesi'!C1683</f>
        <v>0</v>
      </c>
    </row>
    <row r="1764" ht="12.75">
      <c r="M1764" s="61">
        <f>+'Personel Listesi'!C1684</f>
        <v>0</v>
      </c>
    </row>
    <row r="1765" ht="12.75">
      <c r="M1765" s="61">
        <f>+'Personel Listesi'!C1685</f>
        <v>0</v>
      </c>
    </row>
    <row r="1766" ht="12.75">
      <c r="M1766" s="61">
        <f>+'Personel Listesi'!C1686</f>
        <v>0</v>
      </c>
    </row>
    <row r="1767" ht="12.75">
      <c r="M1767" s="61">
        <f>+'Personel Listesi'!C1687</f>
        <v>0</v>
      </c>
    </row>
    <row r="1768" ht="12.75">
      <c r="M1768" s="61">
        <f>+'Personel Listesi'!C1688</f>
        <v>0</v>
      </c>
    </row>
    <row r="1769" ht="12.75">
      <c r="M1769" s="61">
        <f>+'Personel Listesi'!C1689</f>
        <v>0</v>
      </c>
    </row>
    <row r="1770" ht="12.75">
      <c r="M1770" s="61">
        <f>+'Personel Listesi'!C1690</f>
        <v>0</v>
      </c>
    </row>
    <row r="1771" ht="12.75">
      <c r="M1771" s="61">
        <f>+'Personel Listesi'!C1691</f>
        <v>0</v>
      </c>
    </row>
    <row r="1772" ht="12.75">
      <c r="M1772" s="61">
        <f>+'Personel Listesi'!C1692</f>
        <v>0</v>
      </c>
    </row>
    <row r="1773" ht="12.75">
      <c r="M1773" s="61">
        <f>+'Personel Listesi'!C1693</f>
        <v>0</v>
      </c>
    </row>
    <row r="1774" ht="12.75">
      <c r="M1774" s="61">
        <f>+'Personel Listesi'!C1694</f>
        <v>0</v>
      </c>
    </row>
    <row r="1775" ht="12.75">
      <c r="M1775" s="61">
        <f>+'Personel Listesi'!C1695</f>
        <v>0</v>
      </c>
    </row>
    <row r="1776" ht="12.75">
      <c r="M1776" s="61">
        <f>+'Personel Listesi'!C1696</f>
        <v>0</v>
      </c>
    </row>
    <row r="1777" ht="12.75">
      <c r="M1777" s="61">
        <f>+'Personel Listesi'!C1697</f>
        <v>0</v>
      </c>
    </row>
    <row r="1778" ht="12.75">
      <c r="M1778" s="61">
        <f>+'Personel Listesi'!C1698</f>
        <v>0</v>
      </c>
    </row>
    <row r="1779" ht="12.75">
      <c r="M1779" s="61">
        <f>+'Personel Listesi'!C1699</f>
        <v>0</v>
      </c>
    </row>
    <row r="1780" ht="12.75">
      <c r="M1780" s="61">
        <f>+'Personel Listesi'!C1700</f>
        <v>0</v>
      </c>
    </row>
    <row r="1781" ht="12.75">
      <c r="M1781" s="61">
        <f>+'Personel Listesi'!C1701</f>
        <v>0</v>
      </c>
    </row>
    <row r="1782" ht="12.75">
      <c r="M1782" s="61">
        <f>+'Personel Listesi'!C1702</f>
        <v>0</v>
      </c>
    </row>
    <row r="1783" ht="12.75">
      <c r="M1783" s="61">
        <f>+'Personel Listesi'!C1703</f>
        <v>0</v>
      </c>
    </row>
    <row r="1784" ht="12.75">
      <c r="M1784" s="61">
        <f>+'Personel Listesi'!C1704</f>
        <v>0</v>
      </c>
    </row>
    <row r="1785" ht="12.75">
      <c r="M1785" s="61">
        <f>+'Personel Listesi'!C1705</f>
        <v>0</v>
      </c>
    </row>
    <row r="1786" ht="12.75">
      <c r="M1786" s="61">
        <f>+'Personel Listesi'!C1706</f>
        <v>0</v>
      </c>
    </row>
    <row r="1787" ht="12.75">
      <c r="M1787" s="61">
        <f>+'Personel Listesi'!C1707</f>
        <v>0</v>
      </c>
    </row>
    <row r="1788" ht="12.75">
      <c r="M1788" s="61">
        <f>+'Personel Listesi'!C1708</f>
        <v>0</v>
      </c>
    </row>
    <row r="1789" ht="12.75">
      <c r="M1789" s="61">
        <f>+'Personel Listesi'!C1709</f>
        <v>0</v>
      </c>
    </row>
    <row r="1790" ht="12.75">
      <c r="M1790" s="61">
        <f>+'Personel Listesi'!C1710</f>
        <v>0</v>
      </c>
    </row>
    <row r="1791" ht="12.75">
      <c r="M1791" s="61">
        <f>+'Personel Listesi'!C1711</f>
        <v>0</v>
      </c>
    </row>
    <row r="1792" ht="12.75">
      <c r="M1792" s="61">
        <f>+'Personel Listesi'!C1712</f>
        <v>0</v>
      </c>
    </row>
    <row r="1793" ht="12.75">
      <c r="M1793" s="61">
        <f>+'Personel Listesi'!C1713</f>
        <v>0</v>
      </c>
    </row>
    <row r="1794" ht="12.75">
      <c r="M1794" s="61">
        <f>+'Personel Listesi'!C1714</f>
        <v>0</v>
      </c>
    </row>
    <row r="1795" ht="12.75">
      <c r="M1795" s="61">
        <f>+'Personel Listesi'!C1715</f>
        <v>0</v>
      </c>
    </row>
    <row r="1796" ht="12.75">
      <c r="M1796" s="61">
        <f>+'Personel Listesi'!C1716</f>
        <v>0</v>
      </c>
    </row>
    <row r="1797" ht="12.75">
      <c r="M1797" s="61">
        <f>+'Personel Listesi'!C1717</f>
        <v>0</v>
      </c>
    </row>
    <row r="1798" ht="12.75">
      <c r="M1798" s="61">
        <f>+'Personel Listesi'!C1718</f>
        <v>0</v>
      </c>
    </row>
    <row r="1799" ht="12.75">
      <c r="M1799" s="61">
        <f>+'Personel Listesi'!C1719</f>
        <v>0</v>
      </c>
    </row>
    <row r="1800" ht="12.75">
      <c r="M1800" s="61">
        <f>+'Personel Listesi'!C1720</f>
        <v>0</v>
      </c>
    </row>
    <row r="1801" ht="12.75">
      <c r="M1801" s="61">
        <f>+'Personel Listesi'!C1721</f>
        <v>0</v>
      </c>
    </row>
    <row r="1802" ht="12.75">
      <c r="M1802" s="61">
        <f>+'Personel Listesi'!C1722</f>
        <v>0</v>
      </c>
    </row>
    <row r="1803" ht="12.75">
      <c r="M1803" s="61">
        <f>+'Personel Listesi'!C1723</f>
        <v>0</v>
      </c>
    </row>
    <row r="1804" ht="12.75">
      <c r="M1804" s="61">
        <f>+'Personel Listesi'!C1724</f>
        <v>0</v>
      </c>
    </row>
    <row r="1805" ht="12.75">
      <c r="M1805" s="61">
        <f>+'Personel Listesi'!C1725</f>
        <v>0</v>
      </c>
    </row>
    <row r="1806" ht="12.75">
      <c r="M1806" s="61">
        <f>+'Personel Listesi'!C1726</f>
        <v>0</v>
      </c>
    </row>
    <row r="1807" ht="12.75">
      <c r="M1807" s="61">
        <f>+'Personel Listesi'!C1727</f>
        <v>0</v>
      </c>
    </row>
    <row r="1808" ht="12.75">
      <c r="M1808" s="61">
        <f>+'Personel Listesi'!C1728</f>
        <v>0</v>
      </c>
    </row>
    <row r="1809" ht="12.75">
      <c r="M1809" s="61">
        <f>+'Personel Listesi'!C1729</f>
        <v>0</v>
      </c>
    </row>
    <row r="1810" ht="12.75">
      <c r="M1810" s="61">
        <f>+'Personel Listesi'!C1730</f>
        <v>0</v>
      </c>
    </row>
    <row r="1811" ht="12.75">
      <c r="M1811" s="61">
        <f>+'Personel Listesi'!C1731</f>
        <v>0</v>
      </c>
    </row>
    <row r="1812" ht="12.75">
      <c r="M1812" s="61">
        <f>+'Personel Listesi'!C1732</f>
        <v>0</v>
      </c>
    </row>
    <row r="1813" ht="12.75">
      <c r="M1813" s="61">
        <f>+'Personel Listesi'!C1733</f>
        <v>0</v>
      </c>
    </row>
    <row r="1814" ht="12.75">
      <c r="M1814" s="61">
        <f>+'Personel Listesi'!C1734</f>
        <v>0</v>
      </c>
    </row>
    <row r="1815" ht="12.75">
      <c r="M1815" s="61">
        <f>+'Personel Listesi'!C1735</f>
        <v>0</v>
      </c>
    </row>
    <row r="1816" ht="12.75">
      <c r="M1816" s="61">
        <f>+'Personel Listesi'!C1736</f>
        <v>0</v>
      </c>
    </row>
    <row r="1817" ht="12.75">
      <c r="M1817" s="61">
        <f>+'Personel Listesi'!C1737</f>
        <v>0</v>
      </c>
    </row>
    <row r="1818" ht="12.75">
      <c r="M1818" s="61">
        <f>+'Personel Listesi'!C1738</f>
        <v>0</v>
      </c>
    </row>
    <row r="1819" ht="12.75">
      <c r="M1819" s="61">
        <f>+'Personel Listesi'!C1739</f>
        <v>0</v>
      </c>
    </row>
    <row r="1820" ht="12.75">
      <c r="M1820" s="61">
        <f>+'Personel Listesi'!C1740</f>
        <v>0</v>
      </c>
    </row>
    <row r="1821" ht="12.75">
      <c r="M1821" s="61">
        <f>+'Personel Listesi'!C1741</f>
        <v>0</v>
      </c>
    </row>
    <row r="1822" ht="12.75">
      <c r="M1822" s="61">
        <f>+'Personel Listesi'!C1742</f>
        <v>0</v>
      </c>
    </row>
    <row r="1823" ht="12.75">
      <c r="M1823" s="61">
        <f>+'Personel Listesi'!C1743</f>
        <v>0</v>
      </c>
    </row>
    <row r="1824" ht="12.75">
      <c r="M1824" s="61">
        <f>+'Personel Listesi'!C1744</f>
        <v>0</v>
      </c>
    </row>
    <row r="1825" ht="12.75">
      <c r="M1825" s="61">
        <f>+'Personel Listesi'!C1745</f>
        <v>0</v>
      </c>
    </row>
    <row r="1826" ht="12.75">
      <c r="M1826" s="61">
        <f>+'Personel Listesi'!C1746</f>
        <v>0</v>
      </c>
    </row>
    <row r="1827" ht="12.75">
      <c r="M1827" s="61">
        <f>+'Personel Listesi'!C1747</f>
        <v>0</v>
      </c>
    </row>
    <row r="1828" ht="12.75">
      <c r="M1828" s="61">
        <f>+'Personel Listesi'!C1748</f>
        <v>0</v>
      </c>
    </row>
    <row r="1829" ht="12.75">
      <c r="M1829" s="61">
        <f>+'Personel Listesi'!C1749</f>
        <v>0</v>
      </c>
    </row>
    <row r="1830" ht="12.75">
      <c r="M1830" s="61">
        <f>+'Personel Listesi'!C1750</f>
        <v>0</v>
      </c>
    </row>
    <row r="1831" ht="12.75">
      <c r="M1831" s="61">
        <f>+'Personel Listesi'!C1751</f>
        <v>0</v>
      </c>
    </row>
    <row r="1832" ht="12.75">
      <c r="M1832" s="61">
        <f>+'Personel Listesi'!C1752</f>
        <v>0</v>
      </c>
    </row>
    <row r="1833" ht="12.75">
      <c r="M1833" s="61">
        <f>+'Personel Listesi'!C1753</f>
        <v>0</v>
      </c>
    </row>
    <row r="1834" ht="12.75">
      <c r="M1834" s="61">
        <f>+'Personel Listesi'!C1754</f>
        <v>0</v>
      </c>
    </row>
    <row r="1835" ht="12.75">
      <c r="M1835" s="61">
        <f>+'Personel Listesi'!C1755</f>
        <v>0</v>
      </c>
    </row>
    <row r="1836" ht="12.75">
      <c r="M1836" s="61">
        <f>+'Personel Listesi'!C1756</f>
        <v>0</v>
      </c>
    </row>
    <row r="1837" ht="12.75">
      <c r="M1837" s="61">
        <f>+'Personel Listesi'!C1757</f>
        <v>0</v>
      </c>
    </row>
    <row r="1838" ht="12.75">
      <c r="M1838" s="61">
        <f>+'Personel Listesi'!C1758</f>
        <v>0</v>
      </c>
    </row>
    <row r="1839" ht="12.75">
      <c r="M1839" s="61">
        <f>+'Personel Listesi'!C1759</f>
        <v>0</v>
      </c>
    </row>
    <row r="1840" ht="12.75">
      <c r="M1840" s="61">
        <f>+'Personel Listesi'!C1760</f>
        <v>0</v>
      </c>
    </row>
    <row r="1841" ht="12.75">
      <c r="M1841" s="61">
        <f>+'Personel Listesi'!C1761</f>
        <v>0</v>
      </c>
    </row>
    <row r="1842" ht="12.75">
      <c r="M1842" s="61">
        <f>+'Personel Listesi'!C1762</f>
        <v>0</v>
      </c>
    </row>
    <row r="1843" ht="12.75">
      <c r="M1843" s="61">
        <f>+'Personel Listesi'!C1763</f>
        <v>0</v>
      </c>
    </row>
    <row r="1844" ht="12.75">
      <c r="M1844" s="61">
        <f>+'Personel Listesi'!C1764</f>
        <v>0</v>
      </c>
    </row>
    <row r="1845" ht="12.75">
      <c r="M1845" s="61">
        <f>+'Personel Listesi'!C1765</f>
        <v>0</v>
      </c>
    </row>
    <row r="1846" ht="12.75">
      <c r="M1846" s="61">
        <f>+'Personel Listesi'!C1766</f>
        <v>0</v>
      </c>
    </row>
    <row r="1847" ht="12.75">
      <c r="M1847" s="61">
        <f>+'Personel Listesi'!C1767</f>
        <v>0</v>
      </c>
    </row>
    <row r="1848" ht="12.75">
      <c r="M1848" s="61">
        <f>+'Personel Listesi'!C1768</f>
        <v>0</v>
      </c>
    </row>
    <row r="1849" ht="12.75">
      <c r="M1849" s="61">
        <f>+'Personel Listesi'!C1769</f>
        <v>0</v>
      </c>
    </row>
    <row r="1850" ht="12.75">
      <c r="M1850" s="61">
        <f>+'Personel Listesi'!C1770</f>
        <v>0</v>
      </c>
    </row>
    <row r="1851" ht="12.75">
      <c r="M1851" s="61">
        <f>+'Personel Listesi'!C1771</f>
        <v>0</v>
      </c>
    </row>
    <row r="1852" ht="12.75">
      <c r="M1852" s="61">
        <f>+'Personel Listesi'!C1772</f>
        <v>0</v>
      </c>
    </row>
    <row r="1853" ht="12.75">
      <c r="M1853" s="61">
        <f>+'Personel Listesi'!C1773</f>
        <v>0</v>
      </c>
    </row>
    <row r="1854" ht="12.75">
      <c r="M1854" s="61">
        <f>+'Personel Listesi'!C1774</f>
        <v>0</v>
      </c>
    </row>
    <row r="1855" ht="12.75">
      <c r="M1855" s="61">
        <f>+'Personel Listesi'!C1775</f>
        <v>0</v>
      </c>
    </row>
    <row r="1856" ht="12.75">
      <c r="M1856" s="61">
        <f>+'Personel Listesi'!C1776</f>
        <v>0</v>
      </c>
    </row>
    <row r="1857" ht="12.75">
      <c r="M1857" s="61">
        <f>+'Personel Listesi'!C1777</f>
        <v>0</v>
      </c>
    </row>
    <row r="1858" ht="12.75">
      <c r="M1858" s="61">
        <f>+'Personel Listesi'!C1778</f>
        <v>0</v>
      </c>
    </row>
    <row r="1859" ht="12.75">
      <c r="M1859" s="61">
        <f>+'Personel Listesi'!C1779</f>
        <v>0</v>
      </c>
    </row>
    <row r="1860" ht="12.75">
      <c r="M1860" s="61">
        <f>+'Personel Listesi'!C1780</f>
        <v>0</v>
      </c>
    </row>
    <row r="1861" ht="12.75">
      <c r="M1861" s="61">
        <f>+'Personel Listesi'!C1781</f>
        <v>0</v>
      </c>
    </row>
    <row r="1862" ht="12.75">
      <c r="M1862" s="61">
        <f>+'Personel Listesi'!C1782</f>
        <v>0</v>
      </c>
    </row>
    <row r="1863" ht="12.75">
      <c r="M1863" s="61">
        <f>+'Personel Listesi'!C1783</f>
        <v>0</v>
      </c>
    </row>
    <row r="1864" ht="12.75">
      <c r="M1864" s="61">
        <f>+'Personel Listesi'!C1784</f>
        <v>0</v>
      </c>
    </row>
    <row r="1865" ht="12.75">
      <c r="M1865" s="61">
        <f>+'Personel Listesi'!C1785</f>
        <v>0</v>
      </c>
    </row>
    <row r="1866" ht="12.75">
      <c r="M1866" s="61">
        <f>+'Personel Listesi'!C1786</f>
        <v>0</v>
      </c>
    </row>
    <row r="1867" ht="12.75">
      <c r="M1867" s="61">
        <f>+'Personel Listesi'!C1787</f>
        <v>0</v>
      </c>
    </row>
    <row r="1868" ht="12.75">
      <c r="M1868" s="61">
        <f>+'Personel Listesi'!C1788</f>
        <v>0</v>
      </c>
    </row>
    <row r="1869" ht="12.75">
      <c r="M1869" s="61">
        <f>+'Personel Listesi'!C1789</f>
        <v>0</v>
      </c>
    </row>
    <row r="1870" ht="12.75">
      <c r="M1870" s="61">
        <f>+'Personel Listesi'!C1790</f>
        <v>0</v>
      </c>
    </row>
    <row r="1871" ht="12.75">
      <c r="M1871" s="61">
        <f>+'Personel Listesi'!C1791</f>
        <v>0</v>
      </c>
    </row>
    <row r="1872" ht="12.75">
      <c r="M1872" s="61">
        <f>+'Personel Listesi'!C1792</f>
        <v>0</v>
      </c>
    </row>
    <row r="1873" ht="12.75">
      <c r="M1873" s="61">
        <f>+'Personel Listesi'!C1793</f>
        <v>0</v>
      </c>
    </row>
    <row r="1874" ht="12.75">
      <c r="M1874" s="61">
        <f>+'Personel Listesi'!C1794</f>
        <v>0</v>
      </c>
    </row>
    <row r="1875" ht="12.75">
      <c r="M1875" s="61">
        <f>+'Personel Listesi'!C1795</f>
        <v>0</v>
      </c>
    </row>
    <row r="1876" ht="12.75">
      <c r="M1876" s="61">
        <f>+'Personel Listesi'!C1796</f>
        <v>0</v>
      </c>
    </row>
    <row r="1877" ht="12.75">
      <c r="M1877" s="61">
        <f>+'Personel Listesi'!C1797</f>
        <v>0</v>
      </c>
    </row>
    <row r="1878" ht="12.75">
      <c r="M1878" s="61">
        <f>+'Personel Listesi'!C1798</f>
        <v>0</v>
      </c>
    </row>
    <row r="1879" ht="12.75">
      <c r="M1879" s="61">
        <f>+'Personel Listesi'!C1799</f>
        <v>0</v>
      </c>
    </row>
    <row r="1880" ht="12.75">
      <c r="M1880" s="61">
        <f>+'Personel Listesi'!C1800</f>
        <v>0</v>
      </c>
    </row>
    <row r="1881" ht="12.75">
      <c r="M1881" s="61">
        <f>+'Personel Listesi'!C1801</f>
        <v>0</v>
      </c>
    </row>
    <row r="1882" ht="12.75">
      <c r="M1882" s="61">
        <f>+'Personel Listesi'!C1802</f>
        <v>0</v>
      </c>
    </row>
    <row r="1883" ht="12.75">
      <c r="M1883" s="61">
        <f>+'Personel Listesi'!C1803</f>
        <v>0</v>
      </c>
    </row>
    <row r="1884" ht="12.75">
      <c r="M1884" s="61">
        <f>+'Personel Listesi'!C1804</f>
        <v>0</v>
      </c>
    </row>
    <row r="1885" ht="12.75">
      <c r="M1885" s="61">
        <f>+'Personel Listesi'!C1805</f>
        <v>0</v>
      </c>
    </row>
    <row r="1886" ht="12.75">
      <c r="M1886" s="61">
        <f>+'Personel Listesi'!C1806</f>
        <v>0</v>
      </c>
    </row>
    <row r="1887" ht="12.75">
      <c r="M1887" s="61">
        <f>+'Personel Listesi'!C1807</f>
        <v>0</v>
      </c>
    </row>
    <row r="1888" ht="12.75">
      <c r="M1888" s="61">
        <f>+'Personel Listesi'!C1808</f>
        <v>0</v>
      </c>
    </row>
    <row r="1889" ht="12.75">
      <c r="M1889" s="61">
        <f>+'Personel Listesi'!C1809</f>
        <v>0</v>
      </c>
    </row>
    <row r="1890" ht="12.75">
      <c r="M1890" s="61">
        <f>+'Personel Listesi'!C1810</f>
        <v>0</v>
      </c>
    </row>
    <row r="1891" ht="12.75">
      <c r="M1891" s="61">
        <f>+'Personel Listesi'!C1811</f>
        <v>0</v>
      </c>
    </row>
    <row r="1892" ht="12.75">
      <c r="M1892" s="61">
        <f>+'Personel Listesi'!C1812</f>
        <v>0</v>
      </c>
    </row>
    <row r="1893" ht="12.75">
      <c r="M1893" s="61">
        <f>+'Personel Listesi'!C1813</f>
        <v>0</v>
      </c>
    </row>
    <row r="1894" ht="12.75">
      <c r="M1894" s="61">
        <f>+'Personel Listesi'!C1814</f>
        <v>0</v>
      </c>
    </row>
    <row r="1895" ht="12.75">
      <c r="M1895" s="61">
        <f>+'Personel Listesi'!C1815</f>
        <v>0</v>
      </c>
    </row>
    <row r="1896" ht="12.75">
      <c r="M1896" s="61">
        <f>+'Personel Listesi'!C1816</f>
        <v>0</v>
      </c>
    </row>
    <row r="1897" ht="12.75">
      <c r="M1897" s="61">
        <f>+'Personel Listesi'!C1817</f>
        <v>0</v>
      </c>
    </row>
    <row r="1898" ht="12.75">
      <c r="M1898" s="61">
        <f>+'Personel Listesi'!C1818</f>
        <v>0</v>
      </c>
    </row>
    <row r="1899" ht="12.75">
      <c r="M1899" s="61">
        <f>+'Personel Listesi'!C1819</f>
        <v>0</v>
      </c>
    </row>
    <row r="1900" ht="12.75">
      <c r="M1900" s="61">
        <f>+'Personel Listesi'!C1820</f>
        <v>0</v>
      </c>
    </row>
    <row r="1901" ht="12.75">
      <c r="M1901" s="61">
        <f>+'Personel Listesi'!C1821</f>
        <v>0</v>
      </c>
    </row>
    <row r="1902" ht="12.75">
      <c r="M1902" s="61">
        <f>+'Personel Listesi'!C1822</f>
        <v>0</v>
      </c>
    </row>
    <row r="1903" ht="12.75">
      <c r="M1903" s="61">
        <f>+'Personel Listesi'!C1823</f>
        <v>0</v>
      </c>
    </row>
    <row r="1904" ht="12.75">
      <c r="M1904" s="61">
        <f>+'Personel Listesi'!C1824</f>
        <v>0</v>
      </c>
    </row>
    <row r="1905" ht="12.75">
      <c r="M1905" s="61">
        <f>+'Personel Listesi'!C1825</f>
        <v>0</v>
      </c>
    </row>
    <row r="1906" ht="12.75">
      <c r="M1906" s="61">
        <f>+'Personel Listesi'!C1826</f>
        <v>0</v>
      </c>
    </row>
    <row r="1907" ht="12.75">
      <c r="M1907" s="61">
        <f>+'Personel Listesi'!C1827</f>
        <v>0</v>
      </c>
    </row>
    <row r="1908" ht="12.75">
      <c r="M1908" s="61">
        <f>+'Personel Listesi'!C1828</f>
        <v>0</v>
      </c>
    </row>
    <row r="1909" ht="12.75">
      <c r="M1909" s="61">
        <f>+'Personel Listesi'!C1829</f>
        <v>0</v>
      </c>
    </row>
    <row r="1910" ht="12.75">
      <c r="M1910" s="61">
        <f>+'Personel Listesi'!C1830</f>
        <v>0</v>
      </c>
    </row>
    <row r="1911" ht="12.75">
      <c r="M1911" s="61">
        <f>+'Personel Listesi'!C1831</f>
        <v>0</v>
      </c>
    </row>
    <row r="1912" ht="12.75">
      <c r="M1912" s="61">
        <f>+'Personel Listesi'!C1832</f>
        <v>0</v>
      </c>
    </row>
    <row r="1913" ht="12.75">
      <c r="M1913" s="61">
        <f>+'Personel Listesi'!C1833</f>
        <v>0</v>
      </c>
    </row>
    <row r="1914" ht="12.75">
      <c r="M1914" s="61">
        <f>+'Personel Listesi'!C1834</f>
        <v>0</v>
      </c>
    </row>
    <row r="1915" ht="12.75">
      <c r="M1915" s="61">
        <f>+'Personel Listesi'!C1835</f>
        <v>0</v>
      </c>
    </row>
    <row r="1916" ht="12.75">
      <c r="M1916" s="61">
        <f>+'Personel Listesi'!C1836</f>
        <v>0</v>
      </c>
    </row>
    <row r="1917" ht="12.75">
      <c r="M1917" s="61">
        <f>+'Personel Listesi'!C1837</f>
        <v>0</v>
      </c>
    </row>
    <row r="1918" ht="12.75">
      <c r="M1918" s="61">
        <f>+'Personel Listesi'!C1838</f>
        <v>0</v>
      </c>
    </row>
    <row r="1919" ht="12.75">
      <c r="M1919" s="61">
        <f>+'Personel Listesi'!C1839</f>
        <v>0</v>
      </c>
    </row>
    <row r="1920" ht="12.75">
      <c r="M1920" s="61">
        <f>+'Personel Listesi'!C1840</f>
        <v>0</v>
      </c>
    </row>
    <row r="1921" ht="12.75">
      <c r="M1921" s="61">
        <f>+'Personel Listesi'!C1841</f>
        <v>0</v>
      </c>
    </row>
    <row r="1922" ht="12.75">
      <c r="M1922" s="61">
        <f>+'Personel Listesi'!C1842</f>
        <v>0</v>
      </c>
    </row>
    <row r="1923" ht="12.75">
      <c r="M1923" s="61">
        <f>+'Personel Listesi'!C1843</f>
        <v>0</v>
      </c>
    </row>
    <row r="1924" ht="12.75">
      <c r="M1924" s="61">
        <f>+'Personel Listesi'!C1844</f>
        <v>0</v>
      </c>
    </row>
    <row r="1925" ht="12.75">
      <c r="M1925" s="61">
        <f>+'Personel Listesi'!C1845</f>
        <v>0</v>
      </c>
    </row>
    <row r="1926" ht="12.75">
      <c r="M1926" s="61">
        <f>+'Personel Listesi'!C1846</f>
        <v>0</v>
      </c>
    </row>
    <row r="1927" ht="12.75">
      <c r="M1927" s="61">
        <f>+'Personel Listesi'!C1847</f>
        <v>0</v>
      </c>
    </row>
    <row r="1928" ht="12.75">
      <c r="M1928" s="61">
        <f>+'Personel Listesi'!C1848</f>
        <v>0</v>
      </c>
    </row>
    <row r="1929" ht="12.75">
      <c r="M1929" s="61">
        <f>+'Personel Listesi'!C1849</f>
        <v>0</v>
      </c>
    </row>
    <row r="1930" ht="12.75">
      <c r="M1930" s="61">
        <f>+'Personel Listesi'!C1850</f>
        <v>0</v>
      </c>
    </row>
    <row r="1931" ht="12.75">
      <c r="M1931" s="61">
        <f>+'Personel Listesi'!C1851</f>
        <v>0</v>
      </c>
    </row>
    <row r="1932" ht="12.75">
      <c r="M1932" s="61">
        <f>+'Personel Listesi'!C1852</f>
        <v>0</v>
      </c>
    </row>
    <row r="1933" ht="12.75">
      <c r="M1933" s="61">
        <f>+'Personel Listesi'!C1853</f>
        <v>0</v>
      </c>
    </row>
    <row r="1934" ht="12.75">
      <c r="M1934" s="61">
        <f>+'Personel Listesi'!C1854</f>
        <v>0</v>
      </c>
    </row>
    <row r="1935" ht="12.75">
      <c r="M1935" s="61">
        <f>+'Personel Listesi'!C1855</f>
        <v>0</v>
      </c>
    </row>
    <row r="1936" ht="12.75">
      <c r="M1936" s="61">
        <f>+'Personel Listesi'!C1856</f>
        <v>0</v>
      </c>
    </row>
    <row r="1937" ht="12.75">
      <c r="M1937" s="61">
        <f>+'Personel Listesi'!C1857</f>
        <v>0</v>
      </c>
    </row>
    <row r="1938" ht="12.75">
      <c r="M1938" s="61">
        <f>+'Personel Listesi'!C1858</f>
        <v>0</v>
      </c>
    </row>
    <row r="1939" ht="12.75">
      <c r="M1939" s="61">
        <f>+'Personel Listesi'!C1859</f>
        <v>0</v>
      </c>
    </row>
    <row r="1940" ht="12.75">
      <c r="M1940" s="61">
        <f>+'Personel Listesi'!C1860</f>
        <v>0</v>
      </c>
    </row>
    <row r="1941" ht="12.75">
      <c r="M1941" s="61">
        <f>+'Personel Listesi'!C1861</f>
        <v>0</v>
      </c>
    </row>
    <row r="1942" ht="12.75">
      <c r="M1942" s="61">
        <f>+'Personel Listesi'!C1862</f>
        <v>0</v>
      </c>
    </row>
    <row r="1943" ht="12.75">
      <c r="M1943" s="61">
        <f>+'Personel Listesi'!C1863</f>
        <v>0</v>
      </c>
    </row>
    <row r="1944" ht="12.75">
      <c r="M1944" s="61">
        <f>+'Personel Listesi'!C1864</f>
        <v>0</v>
      </c>
    </row>
    <row r="1945" ht="12.75">
      <c r="M1945" s="61">
        <f>+'Personel Listesi'!C1865</f>
        <v>0</v>
      </c>
    </row>
    <row r="1946" ht="12.75">
      <c r="M1946" s="61">
        <f>+'Personel Listesi'!C1866</f>
        <v>0</v>
      </c>
    </row>
    <row r="1947" ht="12.75">
      <c r="M1947" s="61">
        <f>+'Personel Listesi'!C1867</f>
        <v>0</v>
      </c>
    </row>
    <row r="1948" ht="12.75">
      <c r="M1948" s="61">
        <f>+'Personel Listesi'!C1868</f>
        <v>0</v>
      </c>
    </row>
    <row r="1949" ht="12.75">
      <c r="M1949" s="61">
        <f>+'Personel Listesi'!C1869</f>
        <v>0</v>
      </c>
    </row>
    <row r="1950" ht="12.75">
      <c r="M1950" s="61">
        <f>+'Personel Listesi'!C1870</f>
        <v>0</v>
      </c>
    </row>
    <row r="1951" ht="12.75">
      <c r="M1951" s="61">
        <f>+'Personel Listesi'!C1871</f>
        <v>0</v>
      </c>
    </row>
    <row r="1952" ht="12.75">
      <c r="M1952" s="61">
        <f>+'Personel Listesi'!C1872</f>
        <v>0</v>
      </c>
    </row>
    <row r="1953" ht="12.75">
      <c r="M1953" s="61">
        <f>+'Personel Listesi'!C1873</f>
        <v>0</v>
      </c>
    </row>
    <row r="1954" ht="12.75">
      <c r="M1954" s="61">
        <f>+'Personel Listesi'!C1874</f>
        <v>0</v>
      </c>
    </row>
    <row r="1955" ht="12.75">
      <c r="M1955" s="61">
        <f>+'Personel Listesi'!C1875</f>
        <v>0</v>
      </c>
    </row>
    <row r="1956" ht="12.75">
      <c r="M1956" s="61">
        <f>+'Personel Listesi'!C1876</f>
        <v>0</v>
      </c>
    </row>
    <row r="1957" ht="12.75">
      <c r="M1957" s="61">
        <f>+'Personel Listesi'!C1877</f>
        <v>0</v>
      </c>
    </row>
    <row r="1958" ht="12.75">
      <c r="M1958" s="61">
        <f>+'Personel Listesi'!C1878</f>
        <v>0</v>
      </c>
    </row>
    <row r="1959" ht="12.75">
      <c r="M1959" s="61">
        <f>+'Personel Listesi'!C1879</f>
        <v>0</v>
      </c>
    </row>
    <row r="1960" ht="12.75">
      <c r="M1960" s="61">
        <f>+'Personel Listesi'!C1880</f>
        <v>0</v>
      </c>
    </row>
    <row r="1961" ht="12.75">
      <c r="M1961" s="61">
        <f>+'Personel Listesi'!C1881</f>
        <v>0</v>
      </c>
    </row>
    <row r="1962" ht="12.75">
      <c r="M1962" s="61">
        <f>+'Personel Listesi'!C1882</f>
        <v>0</v>
      </c>
    </row>
    <row r="1963" ht="12.75">
      <c r="M1963" s="61">
        <f>+'Personel Listesi'!C1883</f>
        <v>0</v>
      </c>
    </row>
    <row r="1964" ht="12.75">
      <c r="M1964" s="61">
        <f>+'Personel Listesi'!C1884</f>
        <v>0</v>
      </c>
    </row>
    <row r="1965" ht="12.75">
      <c r="M1965" s="61">
        <f>+'Personel Listesi'!C1885</f>
        <v>0</v>
      </c>
    </row>
    <row r="1966" ht="12.75">
      <c r="M1966" s="61">
        <f>+'Personel Listesi'!C1886</f>
        <v>0</v>
      </c>
    </row>
    <row r="1967" ht="12.75">
      <c r="M1967" s="61">
        <f>+'Personel Listesi'!C1887</f>
        <v>0</v>
      </c>
    </row>
    <row r="1968" ht="12.75">
      <c r="M1968" s="61">
        <f>+'Personel Listesi'!C1888</f>
        <v>0</v>
      </c>
    </row>
    <row r="1969" ht="12.75">
      <c r="M1969" s="61">
        <f>+'Personel Listesi'!C1889</f>
        <v>0</v>
      </c>
    </row>
    <row r="1970" ht="12.75">
      <c r="M1970" s="61">
        <f>+'Personel Listesi'!C1890</f>
        <v>0</v>
      </c>
    </row>
    <row r="1971" ht="12.75">
      <c r="M1971" s="61">
        <f>+'Personel Listesi'!C1891</f>
        <v>0</v>
      </c>
    </row>
    <row r="1972" ht="12.75">
      <c r="M1972" s="61">
        <f>+'Personel Listesi'!C1892</f>
        <v>0</v>
      </c>
    </row>
    <row r="1973" ht="12.75">
      <c r="M1973" s="61">
        <f>+'Personel Listesi'!C1893</f>
        <v>0</v>
      </c>
    </row>
    <row r="1974" ht="12.75">
      <c r="M1974" s="61">
        <f>+'Personel Listesi'!C1894</f>
        <v>0</v>
      </c>
    </row>
    <row r="1975" ht="12.75">
      <c r="M1975" s="61">
        <f>+'Personel Listesi'!C1895</f>
        <v>0</v>
      </c>
    </row>
    <row r="1976" ht="12.75">
      <c r="M1976" s="61">
        <f>+'Personel Listesi'!C1896</f>
        <v>0</v>
      </c>
    </row>
    <row r="1977" ht="12.75">
      <c r="M1977" s="61">
        <f>+'Personel Listesi'!C1897</f>
        <v>0</v>
      </c>
    </row>
    <row r="1978" ht="12.75">
      <c r="M1978" s="61">
        <f>+'Personel Listesi'!C1898</f>
        <v>0</v>
      </c>
    </row>
    <row r="1979" ht="12.75">
      <c r="M1979" s="61">
        <f>+'Personel Listesi'!C1899</f>
        <v>0</v>
      </c>
    </row>
    <row r="1980" ht="12.75">
      <c r="M1980" s="61">
        <f>+'Personel Listesi'!C1900</f>
        <v>0</v>
      </c>
    </row>
    <row r="1981" ht="12.75">
      <c r="M1981" s="61">
        <f>+'Personel Listesi'!C1901</f>
        <v>0</v>
      </c>
    </row>
    <row r="1982" ht="12.75">
      <c r="M1982" s="61">
        <f>+'Personel Listesi'!C1902</f>
        <v>0</v>
      </c>
    </row>
    <row r="1983" ht="12.75">
      <c r="M1983" s="61">
        <f>+'Personel Listesi'!C1903</f>
        <v>0</v>
      </c>
    </row>
    <row r="1984" ht="12.75">
      <c r="M1984" s="61">
        <f>+'Personel Listesi'!C1904</f>
        <v>0</v>
      </c>
    </row>
    <row r="1985" ht="12.75">
      <c r="M1985" s="61">
        <f>+'Personel Listesi'!C1905</f>
        <v>0</v>
      </c>
    </row>
    <row r="1986" ht="12.75">
      <c r="M1986" s="61">
        <f>+'Personel Listesi'!C1906</f>
        <v>0</v>
      </c>
    </row>
    <row r="1987" ht="12.75">
      <c r="M1987" s="61">
        <f>+'Personel Listesi'!C1907</f>
        <v>0</v>
      </c>
    </row>
    <row r="1988" ht="12.75">
      <c r="M1988" s="61">
        <f>+'Personel Listesi'!C1908</f>
        <v>0</v>
      </c>
    </row>
    <row r="1989" ht="12.75">
      <c r="M1989" s="61">
        <f>+'Personel Listesi'!C1909</f>
        <v>0</v>
      </c>
    </row>
    <row r="1990" ht="12.75">
      <c r="M1990" s="61">
        <f>+'Personel Listesi'!C1910</f>
        <v>0</v>
      </c>
    </row>
    <row r="1991" ht="12.75">
      <c r="M1991" s="61">
        <f>+'Personel Listesi'!C1911</f>
        <v>0</v>
      </c>
    </row>
    <row r="1992" ht="12.75">
      <c r="M1992" s="61">
        <f>+'Personel Listesi'!C1912</f>
        <v>0</v>
      </c>
    </row>
    <row r="1993" ht="12.75">
      <c r="M1993" s="61">
        <f>+'Personel Listesi'!C1913</f>
        <v>0</v>
      </c>
    </row>
    <row r="1994" ht="12.75">
      <c r="M1994" s="61">
        <f>+'Personel Listesi'!C1914</f>
        <v>0</v>
      </c>
    </row>
    <row r="1995" ht="12.75">
      <c r="M1995" s="61">
        <f>+'Personel Listesi'!C1915</f>
        <v>0</v>
      </c>
    </row>
    <row r="1996" ht="12.75">
      <c r="M1996" s="61">
        <f>+'Personel Listesi'!C1916</f>
        <v>0</v>
      </c>
    </row>
    <row r="1997" ht="12.75">
      <c r="M1997" s="61">
        <f>+'Personel Listesi'!C1917</f>
        <v>0</v>
      </c>
    </row>
    <row r="1998" ht="12.75">
      <c r="M1998" s="61">
        <f>+'Personel Listesi'!C1918</f>
        <v>0</v>
      </c>
    </row>
    <row r="1999" ht="12.75">
      <c r="M1999" s="61">
        <f>+'Personel Listesi'!C1919</f>
        <v>0</v>
      </c>
    </row>
    <row r="2000" ht="12.75">
      <c r="M2000" s="61">
        <f>+'Personel Listesi'!C1920</f>
        <v>0</v>
      </c>
    </row>
    <row r="2001" ht="12.75">
      <c r="M2001" s="61">
        <f>+'Personel Listesi'!C1921</f>
        <v>0</v>
      </c>
    </row>
    <row r="2002" ht="12.75">
      <c r="M2002" s="61">
        <f>+'Personel Listesi'!C1922</f>
        <v>0</v>
      </c>
    </row>
    <row r="2003" ht="12.75">
      <c r="M2003" s="61">
        <f>+'Personel Listesi'!C1923</f>
        <v>0</v>
      </c>
    </row>
    <row r="2004" ht="12.75">
      <c r="M2004" s="61">
        <f>+'Personel Listesi'!C1924</f>
        <v>0</v>
      </c>
    </row>
    <row r="2005" ht="12.75">
      <c r="M2005" s="61">
        <f>+'Personel Listesi'!C1925</f>
        <v>0</v>
      </c>
    </row>
    <row r="2006" ht="12.75">
      <c r="M2006" s="61">
        <f>+'Personel Listesi'!C1926</f>
        <v>0</v>
      </c>
    </row>
    <row r="2007" ht="12.75">
      <c r="M2007" s="61">
        <f>+'Personel Listesi'!C1927</f>
        <v>0</v>
      </c>
    </row>
    <row r="2008" ht="12.75">
      <c r="M2008" s="61">
        <f>+'Personel Listesi'!C1928</f>
        <v>0</v>
      </c>
    </row>
    <row r="2009" ht="12.75">
      <c r="M2009" s="61">
        <f>+'Personel Listesi'!C1929</f>
        <v>0</v>
      </c>
    </row>
    <row r="2010" ht="12.75">
      <c r="M2010" s="61">
        <f>+'Personel Listesi'!C1930</f>
        <v>0</v>
      </c>
    </row>
    <row r="2011" ht="12.75">
      <c r="M2011" s="61">
        <f>+'Personel Listesi'!C1931</f>
        <v>0</v>
      </c>
    </row>
    <row r="2012" ht="12.75">
      <c r="M2012" s="61">
        <f>+'Personel Listesi'!C1932</f>
        <v>0</v>
      </c>
    </row>
    <row r="2013" ht="12.75">
      <c r="M2013" s="61">
        <f>+'Personel Listesi'!C1933</f>
        <v>0</v>
      </c>
    </row>
    <row r="2014" ht="12.75">
      <c r="M2014" s="61">
        <f>+'Personel Listesi'!C1934</f>
        <v>0</v>
      </c>
    </row>
    <row r="2015" ht="12.75">
      <c r="M2015" s="61">
        <f>+'Personel Listesi'!C1935</f>
        <v>0</v>
      </c>
    </row>
    <row r="2016" ht="12.75">
      <c r="M2016" s="61">
        <f>+'Personel Listesi'!C1936</f>
        <v>0</v>
      </c>
    </row>
    <row r="2017" ht="12.75">
      <c r="M2017" s="61">
        <f>+'Personel Listesi'!C1937</f>
        <v>0</v>
      </c>
    </row>
    <row r="2018" ht="12.75">
      <c r="M2018" s="61">
        <f>+'Personel Listesi'!C1938</f>
        <v>0</v>
      </c>
    </row>
    <row r="2019" ht="12.75">
      <c r="M2019" s="61">
        <f>+'Personel Listesi'!C1939</f>
        <v>0</v>
      </c>
    </row>
    <row r="2020" ht="12.75">
      <c r="M2020" s="61">
        <f>+'Personel Listesi'!C1940</f>
        <v>0</v>
      </c>
    </row>
    <row r="2021" ht="12.75">
      <c r="M2021" s="61">
        <f>+'Personel Listesi'!C1941</f>
        <v>0</v>
      </c>
    </row>
    <row r="2022" ht="12.75">
      <c r="M2022" s="61">
        <f>+'Personel Listesi'!C1942</f>
        <v>0</v>
      </c>
    </row>
    <row r="2023" ht="12.75">
      <c r="M2023" s="61">
        <f>+'Personel Listesi'!C1943</f>
        <v>0</v>
      </c>
    </row>
    <row r="2024" ht="12.75">
      <c r="M2024" s="61">
        <f>+'Personel Listesi'!C1944</f>
        <v>0</v>
      </c>
    </row>
    <row r="2025" ht="12.75">
      <c r="M2025" s="61">
        <f>+'Personel Listesi'!C1945</f>
        <v>0</v>
      </c>
    </row>
    <row r="2026" ht="12.75">
      <c r="M2026" s="61">
        <f>+'Personel Listesi'!C1946</f>
        <v>0</v>
      </c>
    </row>
    <row r="2027" ht="12.75">
      <c r="M2027" s="61">
        <f>+'Personel Listesi'!C1947</f>
        <v>0</v>
      </c>
    </row>
    <row r="2028" ht="12.75">
      <c r="M2028" s="61">
        <f>+'Personel Listesi'!C1948</f>
        <v>0</v>
      </c>
    </row>
    <row r="2029" ht="12.75">
      <c r="M2029" s="61">
        <f>+'Personel Listesi'!C1949</f>
        <v>0</v>
      </c>
    </row>
    <row r="2030" ht="12.75">
      <c r="M2030" s="61">
        <f>+'Personel Listesi'!C1950</f>
        <v>0</v>
      </c>
    </row>
    <row r="2031" ht="12.75">
      <c r="M2031" s="61">
        <f>+'Personel Listesi'!C1951</f>
        <v>0</v>
      </c>
    </row>
    <row r="2032" ht="12.75">
      <c r="M2032" s="61">
        <f>+'Personel Listesi'!C1952</f>
        <v>0</v>
      </c>
    </row>
    <row r="2033" ht="12.75">
      <c r="M2033" s="61">
        <f>+'Personel Listesi'!C1953</f>
        <v>0</v>
      </c>
    </row>
    <row r="2034" ht="12.75">
      <c r="M2034" s="61">
        <f>+'Personel Listesi'!C1954</f>
        <v>0</v>
      </c>
    </row>
    <row r="2035" ht="12.75">
      <c r="M2035" s="61">
        <f>+'Personel Listesi'!C1955</f>
        <v>0</v>
      </c>
    </row>
    <row r="2036" ht="12.75">
      <c r="M2036" s="61">
        <f>+'Personel Listesi'!C1956</f>
        <v>0</v>
      </c>
    </row>
    <row r="2037" ht="12.75">
      <c r="M2037" s="61">
        <f>+'Personel Listesi'!C1957</f>
        <v>0</v>
      </c>
    </row>
    <row r="2038" ht="12.75">
      <c r="M2038" s="61">
        <f>+'Personel Listesi'!C1958</f>
        <v>0</v>
      </c>
    </row>
    <row r="2039" ht="12.75">
      <c r="M2039" s="61">
        <f>+'Personel Listesi'!C1959</f>
        <v>0</v>
      </c>
    </row>
    <row r="2040" ht="12.75">
      <c r="M2040" s="61">
        <f>+'Personel Listesi'!C1960</f>
        <v>0</v>
      </c>
    </row>
    <row r="2041" ht="12.75">
      <c r="M2041" s="61">
        <f>+'Personel Listesi'!C1961</f>
        <v>0</v>
      </c>
    </row>
    <row r="2042" ht="12.75">
      <c r="M2042" s="61">
        <f>+'Personel Listesi'!C1962</f>
        <v>0</v>
      </c>
    </row>
    <row r="2043" ht="12.75">
      <c r="M2043" s="61">
        <f>+'Personel Listesi'!C1963</f>
        <v>0</v>
      </c>
    </row>
    <row r="2044" ht="12.75">
      <c r="M2044" s="61">
        <f>+'Personel Listesi'!C1964</f>
        <v>0</v>
      </c>
    </row>
    <row r="2045" ht="12.75">
      <c r="M2045" s="61">
        <f>+'Personel Listesi'!C1965</f>
        <v>0</v>
      </c>
    </row>
    <row r="2046" ht="12.75">
      <c r="M2046" s="61">
        <f>+'Personel Listesi'!C1966</f>
        <v>0</v>
      </c>
    </row>
    <row r="2047" ht="12.75">
      <c r="M2047" s="61">
        <f>+'Personel Listesi'!C1967</f>
        <v>0</v>
      </c>
    </row>
    <row r="2048" ht="12.75">
      <c r="M2048" s="61">
        <f>+'Personel Listesi'!C1968</f>
        <v>0</v>
      </c>
    </row>
    <row r="2049" ht="12.75">
      <c r="M2049" s="61">
        <f>+'Personel Listesi'!C1969</f>
        <v>0</v>
      </c>
    </row>
    <row r="2050" ht="12.75">
      <c r="M2050" s="61">
        <f>+'Personel Listesi'!C1970</f>
        <v>0</v>
      </c>
    </row>
    <row r="2051" ht="12.75">
      <c r="M2051" s="61">
        <f>+'Personel Listesi'!C1971</f>
        <v>0</v>
      </c>
    </row>
    <row r="2052" ht="12.75">
      <c r="M2052" s="61">
        <f>+'Personel Listesi'!C1972</f>
        <v>0</v>
      </c>
    </row>
    <row r="2053" ht="12.75">
      <c r="M2053" s="61">
        <f>+'Personel Listesi'!C1973</f>
        <v>0</v>
      </c>
    </row>
    <row r="2054" ht="12.75">
      <c r="M2054" s="61">
        <f>+'Personel Listesi'!C1974</f>
        <v>0</v>
      </c>
    </row>
    <row r="2055" ht="12.75">
      <c r="M2055" s="61">
        <f>+'Personel Listesi'!C1975</f>
        <v>0</v>
      </c>
    </row>
    <row r="2056" ht="12.75">
      <c r="M2056" s="61">
        <f>+'Personel Listesi'!C1976</f>
        <v>0</v>
      </c>
    </row>
    <row r="2057" ht="12.75">
      <c r="M2057" s="61">
        <f>+'Personel Listesi'!C1977</f>
        <v>0</v>
      </c>
    </row>
    <row r="2058" ht="12.75">
      <c r="M2058" s="61">
        <f>+'Personel Listesi'!C1978</f>
        <v>0</v>
      </c>
    </row>
    <row r="2059" ht="12.75">
      <c r="M2059" s="61">
        <f>+'Personel Listesi'!C1979</f>
        <v>0</v>
      </c>
    </row>
    <row r="2060" ht="12.75">
      <c r="M2060" s="61">
        <f>+'Personel Listesi'!C1980</f>
        <v>0</v>
      </c>
    </row>
    <row r="2061" ht="12.75">
      <c r="M2061" s="61">
        <f>+'Personel Listesi'!C1981</f>
        <v>0</v>
      </c>
    </row>
    <row r="2062" ht="12.75">
      <c r="M2062" s="61">
        <f>+'Personel Listesi'!C1982</f>
        <v>0</v>
      </c>
    </row>
    <row r="2063" ht="12.75">
      <c r="M2063" s="61">
        <f>+'Personel Listesi'!C1983</f>
        <v>0</v>
      </c>
    </row>
    <row r="2064" ht="12.75">
      <c r="M2064" s="61">
        <f>+'Personel Listesi'!C1984</f>
        <v>0</v>
      </c>
    </row>
    <row r="2065" ht="12.75">
      <c r="M2065" s="61">
        <f>+'Personel Listesi'!C1985</f>
        <v>0</v>
      </c>
    </row>
    <row r="2066" ht="12.75">
      <c r="M2066" s="61">
        <f>+'Personel Listesi'!C1986</f>
        <v>0</v>
      </c>
    </row>
    <row r="2067" ht="12.75">
      <c r="M2067" s="61">
        <f>+'Personel Listesi'!C1987</f>
        <v>0</v>
      </c>
    </row>
    <row r="2068" ht="12.75">
      <c r="M2068" s="61">
        <f>+'Personel Listesi'!C1988</f>
        <v>0</v>
      </c>
    </row>
    <row r="2069" ht="12.75">
      <c r="M2069" s="61">
        <f>+'Personel Listesi'!C1989</f>
        <v>0</v>
      </c>
    </row>
    <row r="2070" ht="12.75">
      <c r="M2070" s="61">
        <f>+'Personel Listesi'!C1990</f>
        <v>0</v>
      </c>
    </row>
    <row r="2071" ht="12.75">
      <c r="M2071" s="61">
        <f>+'Personel Listesi'!C1991</f>
        <v>0</v>
      </c>
    </row>
    <row r="2072" ht="12.75">
      <c r="M2072" s="61">
        <f>+'Personel Listesi'!C1992</f>
        <v>0</v>
      </c>
    </row>
    <row r="2073" ht="12.75">
      <c r="M2073" s="61">
        <f>+'Personel Listesi'!C1993</f>
        <v>0</v>
      </c>
    </row>
    <row r="2074" ht="12.75">
      <c r="M2074" s="61">
        <f>+'Personel Listesi'!C1994</f>
        <v>0</v>
      </c>
    </row>
    <row r="2075" ht="12.75">
      <c r="M2075" s="61">
        <f>+'Personel Listesi'!C1995</f>
        <v>0</v>
      </c>
    </row>
    <row r="2076" ht="12.75">
      <c r="M2076" s="61">
        <f>+'Personel Listesi'!C1996</f>
        <v>0</v>
      </c>
    </row>
    <row r="2077" ht="12.75">
      <c r="M2077" s="61">
        <f>+'Personel Listesi'!C1997</f>
        <v>0</v>
      </c>
    </row>
    <row r="2078" ht="12.75">
      <c r="M2078" s="61">
        <f>+'Personel Listesi'!C1998</f>
        <v>0</v>
      </c>
    </row>
    <row r="2079" ht="12.75">
      <c r="M2079" s="61">
        <f>+'Personel Listesi'!C1999</f>
        <v>0</v>
      </c>
    </row>
    <row r="2080" ht="12.75">
      <c r="M2080" s="61">
        <f>+'Personel Listesi'!C2000</f>
        <v>0</v>
      </c>
    </row>
    <row r="2081" ht="12.75">
      <c r="M2081" s="61">
        <f>+'Personel Listesi'!C2001</f>
        <v>0</v>
      </c>
    </row>
    <row r="2082" ht="12.75">
      <c r="M2082" s="61">
        <f>+'Personel Listesi'!C2002</f>
        <v>0</v>
      </c>
    </row>
    <row r="2083" ht="12.75">
      <c r="M2083" s="61">
        <f>+'Personel Listesi'!C2003</f>
        <v>0</v>
      </c>
    </row>
    <row r="2084" ht="12.75">
      <c r="M2084" s="61">
        <f>+'Personel Listesi'!C2004</f>
        <v>0</v>
      </c>
    </row>
    <row r="2085" ht="12.75">
      <c r="M2085" s="61">
        <f>+'Personel Listesi'!C2005</f>
        <v>0</v>
      </c>
    </row>
    <row r="2086" ht="12.75">
      <c r="M2086" s="61">
        <f>+'Personel Listesi'!C2006</f>
        <v>0</v>
      </c>
    </row>
    <row r="2087" ht="12.75">
      <c r="M2087" s="61">
        <f>+'Personel Listesi'!C2007</f>
        <v>0</v>
      </c>
    </row>
    <row r="2088" ht="12.75">
      <c r="M2088" s="61">
        <f>+'Personel Listesi'!C2008</f>
        <v>0</v>
      </c>
    </row>
    <row r="2089" ht="12.75">
      <c r="M2089" s="61">
        <f>+'Personel Listesi'!C2009</f>
        <v>0</v>
      </c>
    </row>
    <row r="2090" ht="12.75">
      <c r="M2090" s="61">
        <f>+'Personel Listesi'!C2010</f>
        <v>0</v>
      </c>
    </row>
    <row r="2091" ht="12.75">
      <c r="M2091" s="61">
        <f>+'Personel Listesi'!C2011</f>
        <v>0</v>
      </c>
    </row>
    <row r="2092" ht="12.75">
      <c r="M2092" s="61">
        <f>+'Personel Listesi'!C2012</f>
        <v>0</v>
      </c>
    </row>
    <row r="2093" ht="12.75">
      <c r="M2093" s="61">
        <f>+'Personel Listesi'!C2013</f>
        <v>0</v>
      </c>
    </row>
    <row r="2094" ht="12.75">
      <c r="M2094" s="61">
        <f>+'Personel Listesi'!C2014</f>
        <v>0</v>
      </c>
    </row>
    <row r="2095" ht="12.75">
      <c r="M2095" s="61">
        <f>+'Personel Listesi'!C2015</f>
        <v>0</v>
      </c>
    </row>
    <row r="2096" ht="12.75">
      <c r="M2096" s="61">
        <f>+'Personel Listesi'!C2016</f>
        <v>0</v>
      </c>
    </row>
    <row r="2097" ht="12.75">
      <c r="M2097" s="61">
        <f>+'Personel Listesi'!C2017</f>
        <v>0</v>
      </c>
    </row>
    <row r="2098" ht="12.75">
      <c r="M2098" s="61">
        <f>+'Personel Listesi'!C2018</f>
        <v>0</v>
      </c>
    </row>
    <row r="2099" ht="12.75">
      <c r="M2099" s="61">
        <f>+'Personel Listesi'!C2019</f>
        <v>0</v>
      </c>
    </row>
    <row r="2100" ht="12.75">
      <c r="M2100" s="61">
        <f>+'Personel Listesi'!C2020</f>
        <v>0</v>
      </c>
    </row>
    <row r="2101" ht="12.75">
      <c r="M2101" s="61">
        <f>+'Personel Listesi'!C2021</f>
        <v>0</v>
      </c>
    </row>
    <row r="2102" ht="12.75">
      <c r="M2102" s="61">
        <f>+'Personel Listesi'!C2022</f>
        <v>0</v>
      </c>
    </row>
    <row r="2103" ht="12.75">
      <c r="M2103" s="61">
        <f>+'Personel Listesi'!C2023</f>
        <v>0</v>
      </c>
    </row>
    <row r="2104" ht="12.75">
      <c r="M2104" s="61">
        <f>+'Personel Listesi'!C2024</f>
        <v>0</v>
      </c>
    </row>
    <row r="2105" ht="12.75">
      <c r="M2105" s="61">
        <f>+'Personel Listesi'!C2025</f>
        <v>0</v>
      </c>
    </row>
    <row r="2106" ht="12.75">
      <c r="M2106" s="61">
        <f>+'Personel Listesi'!C2026</f>
        <v>0</v>
      </c>
    </row>
    <row r="2107" ht="12.75">
      <c r="M2107" s="61">
        <f>+'Personel Listesi'!C2027</f>
        <v>0</v>
      </c>
    </row>
    <row r="2108" ht="12.75">
      <c r="M2108" s="61">
        <f>+'Personel Listesi'!C2028</f>
        <v>0</v>
      </c>
    </row>
    <row r="2109" ht="12.75">
      <c r="M2109" s="61">
        <f>+'Personel Listesi'!C2029</f>
        <v>0</v>
      </c>
    </row>
    <row r="2110" ht="12.75">
      <c r="M2110" s="61">
        <f>+'Personel Listesi'!C2030</f>
        <v>0</v>
      </c>
    </row>
    <row r="2111" ht="12.75">
      <c r="M2111" s="61">
        <f>+'Personel Listesi'!C2031</f>
        <v>0</v>
      </c>
    </row>
    <row r="2112" ht="12.75">
      <c r="M2112" s="61">
        <f>+'Personel Listesi'!C2032</f>
        <v>0</v>
      </c>
    </row>
    <row r="2113" ht="12.75">
      <c r="M2113" s="61">
        <f>+'Personel Listesi'!C2033</f>
        <v>0</v>
      </c>
    </row>
    <row r="2114" ht="12.75">
      <c r="M2114" s="61">
        <f>+'Personel Listesi'!C2034</f>
        <v>0</v>
      </c>
    </row>
    <row r="2115" ht="12.75">
      <c r="M2115" s="61">
        <f>+'Personel Listesi'!C2035</f>
        <v>0</v>
      </c>
    </row>
    <row r="2116" ht="12.75">
      <c r="M2116" s="61">
        <f>+'Personel Listesi'!C2036</f>
        <v>0</v>
      </c>
    </row>
    <row r="2117" ht="12.75">
      <c r="M2117" s="61">
        <f>+'Personel Listesi'!C2037</f>
        <v>0</v>
      </c>
    </row>
    <row r="2118" ht="12.75">
      <c r="M2118" s="61">
        <f>+'Personel Listesi'!C2038</f>
        <v>0</v>
      </c>
    </row>
    <row r="2119" ht="12.75">
      <c r="M2119" s="61">
        <f>+'Personel Listesi'!C2039</f>
        <v>0</v>
      </c>
    </row>
    <row r="2120" ht="12.75">
      <c r="M2120" s="61">
        <f>+'Personel Listesi'!C2040</f>
        <v>0</v>
      </c>
    </row>
    <row r="2121" ht="12.75">
      <c r="M2121" s="61">
        <f>+'Personel Listesi'!C2041</f>
        <v>0</v>
      </c>
    </row>
    <row r="2122" ht="12.75">
      <c r="M2122" s="61">
        <f>+'Personel Listesi'!C2042</f>
        <v>0</v>
      </c>
    </row>
    <row r="2123" ht="12.75">
      <c r="M2123" s="61">
        <f>+'Personel Listesi'!C2043</f>
        <v>0</v>
      </c>
    </row>
    <row r="2124" ht="12.75">
      <c r="M2124" s="61">
        <f>+'Personel Listesi'!C2044</f>
        <v>0</v>
      </c>
    </row>
    <row r="2125" ht="12.75">
      <c r="M2125" s="61">
        <f>+'Personel Listesi'!C2045</f>
        <v>0</v>
      </c>
    </row>
    <row r="2126" ht="12.75">
      <c r="M2126" s="61">
        <f>+'Personel Listesi'!C2046</f>
        <v>0</v>
      </c>
    </row>
    <row r="2127" ht="12.75">
      <c r="M2127" s="61">
        <f>+'Personel Listesi'!C2047</f>
        <v>0</v>
      </c>
    </row>
    <row r="2128" ht="12.75">
      <c r="M2128" s="61">
        <f>+'Personel Listesi'!C2048</f>
        <v>0</v>
      </c>
    </row>
    <row r="2129" ht="12.75">
      <c r="M2129" s="61">
        <f>+'Personel Listesi'!C2049</f>
        <v>0</v>
      </c>
    </row>
    <row r="2130" ht="12.75">
      <c r="M2130" s="61">
        <f>+'Personel Listesi'!C2050</f>
        <v>0</v>
      </c>
    </row>
    <row r="2131" ht="12.75">
      <c r="M2131" s="61">
        <f>+'Personel Listesi'!C2051</f>
        <v>0</v>
      </c>
    </row>
    <row r="2132" ht="12.75">
      <c r="M2132" s="61">
        <f>+'Personel Listesi'!C2052</f>
        <v>0</v>
      </c>
    </row>
    <row r="2133" ht="12.75">
      <c r="M2133" s="61">
        <f>+'Personel Listesi'!C2053</f>
        <v>0</v>
      </c>
    </row>
    <row r="2134" ht="12.75">
      <c r="M2134" s="61">
        <f>+'Personel Listesi'!C2054</f>
        <v>0</v>
      </c>
    </row>
    <row r="2135" ht="12.75">
      <c r="M2135" s="61">
        <f>+'Personel Listesi'!C2055</f>
        <v>0</v>
      </c>
    </row>
    <row r="2136" ht="12.75">
      <c r="M2136" s="61">
        <f>+'Personel Listesi'!C2056</f>
        <v>0</v>
      </c>
    </row>
    <row r="2137" ht="12.75">
      <c r="M2137" s="61">
        <f>+'Personel Listesi'!C2057</f>
        <v>0</v>
      </c>
    </row>
    <row r="2138" ht="12.75">
      <c r="M2138" s="61">
        <f>+'Personel Listesi'!C2058</f>
        <v>0</v>
      </c>
    </row>
    <row r="2139" ht="12.75">
      <c r="M2139" s="61">
        <f>+'Personel Listesi'!C2059</f>
        <v>0</v>
      </c>
    </row>
    <row r="2140" ht="12.75">
      <c r="M2140" s="61">
        <f>+'Personel Listesi'!C2060</f>
        <v>0</v>
      </c>
    </row>
    <row r="2141" ht="12.75">
      <c r="M2141" s="61">
        <f>+'Personel Listesi'!C2061</f>
        <v>0</v>
      </c>
    </row>
    <row r="2142" ht="12.75">
      <c r="M2142" s="61">
        <f>+'Personel Listesi'!C2062</f>
        <v>0</v>
      </c>
    </row>
    <row r="2143" ht="12.75">
      <c r="M2143" s="61">
        <f>+'Personel Listesi'!C2063</f>
        <v>0</v>
      </c>
    </row>
    <row r="2144" ht="12.75">
      <c r="M2144" s="61">
        <f>+'Personel Listesi'!C2064</f>
        <v>0</v>
      </c>
    </row>
    <row r="2145" ht="12.75">
      <c r="M2145" s="61">
        <f>+'Personel Listesi'!C2065</f>
        <v>0</v>
      </c>
    </row>
    <row r="2146" ht="12.75">
      <c r="M2146" s="61">
        <f>+'Personel Listesi'!C2066</f>
        <v>0</v>
      </c>
    </row>
    <row r="2147" ht="12.75">
      <c r="M2147" s="61">
        <f>+'Personel Listesi'!C2067</f>
        <v>0</v>
      </c>
    </row>
    <row r="2148" ht="12.75">
      <c r="M2148" s="61">
        <f>+'Personel Listesi'!C2068</f>
        <v>0</v>
      </c>
    </row>
    <row r="2149" ht="12.75">
      <c r="M2149" s="61">
        <f>+'Personel Listesi'!C2069</f>
        <v>0</v>
      </c>
    </row>
    <row r="2150" ht="12.75">
      <c r="M2150" s="61">
        <f>+'Personel Listesi'!C2070</f>
        <v>0</v>
      </c>
    </row>
    <row r="2151" ht="12.75">
      <c r="M2151" s="61">
        <f>+'Personel Listesi'!C2071</f>
        <v>0</v>
      </c>
    </row>
    <row r="2152" ht="12.75">
      <c r="M2152" s="61">
        <f>+'Personel Listesi'!C2072</f>
        <v>0</v>
      </c>
    </row>
    <row r="2153" ht="12.75">
      <c r="M2153" s="61">
        <f>+'Personel Listesi'!C2073</f>
        <v>0</v>
      </c>
    </row>
    <row r="2154" ht="12.75">
      <c r="M2154" s="61">
        <f>+'Personel Listesi'!C2074</f>
        <v>0</v>
      </c>
    </row>
    <row r="2155" ht="12.75">
      <c r="M2155" s="61">
        <f>+'Personel Listesi'!C2075</f>
        <v>0</v>
      </c>
    </row>
    <row r="2156" ht="12.75">
      <c r="M2156" s="61">
        <f>+'Personel Listesi'!C2076</f>
        <v>0</v>
      </c>
    </row>
    <row r="2157" ht="12.75">
      <c r="M2157" s="61">
        <f>+'Personel Listesi'!C2077</f>
        <v>0</v>
      </c>
    </row>
    <row r="2158" ht="12.75">
      <c r="M2158" s="61">
        <f>+'Personel Listesi'!C2078</f>
        <v>0</v>
      </c>
    </row>
    <row r="2159" ht="12.75">
      <c r="M2159" s="61">
        <f>+'Personel Listesi'!C2079</f>
        <v>0</v>
      </c>
    </row>
    <row r="2160" ht="12.75">
      <c r="M2160" s="61">
        <f>+'Personel Listesi'!C2080</f>
        <v>0</v>
      </c>
    </row>
    <row r="2161" ht="12.75">
      <c r="M2161" s="61">
        <f>+'Personel Listesi'!C2081</f>
        <v>0</v>
      </c>
    </row>
    <row r="2162" ht="12.75">
      <c r="M2162" s="61">
        <f>+'Personel Listesi'!C2082</f>
        <v>0</v>
      </c>
    </row>
    <row r="2163" ht="12.75">
      <c r="M2163" s="61">
        <f>+'Personel Listesi'!C2083</f>
        <v>0</v>
      </c>
    </row>
    <row r="2164" ht="12.75">
      <c r="M2164" s="61">
        <f>+'Personel Listesi'!C2084</f>
        <v>0</v>
      </c>
    </row>
    <row r="2165" ht="12.75">
      <c r="M2165" s="61">
        <f>+'Personel Listesi'!C2085</f>
        <v>0</v>
      </c>
    </row>
    <row r="2166" ht="12.75">
      <c r="M2166" s="61">
        <f>+'Personel Listesi'!C2086</f>
        <v>0</v>
      </c>
    </row>
    <row r="2167" ht="12.75">
      <c r="M2167" s="61">
        <f>+'Personel Listesi'!C2087</f>
        <v>0</v>
      </c>
    </row>
    <row r="2168" ht="12.75">
      <c r="M2168" s="61">
        <f>+'Personel Listesi'!C2088</f>
        <v>0</v>
      </c>
    </row>
    <row r="2169" ht="12.75">
      <c r="M2169" s="61">
        <f>+'Personel Listesi'!C2089</f>
        <v>0</v>
      </c>
    </row>
    <row r="2170" ht="12.75">
      <c r="M2170" s="61">
        <f>+'Personel Listesi'!C2090</f>
        <v>0</v>
      </c>
    </row>
    <row r="2171" ht="12.75">
      <c r="M2171" s="61">
        <f>+'Personel Listesi'!C2091</f>
        <v>0</v>
      </c>
    </row>
    <row r="2172" ht="12.75">
      <c r="M2172" s="61">
        <f>+'Personel Listesi'!C2092</f>
        <v>0</v>
      </c>
    </row>
    <row r="2173" ht="12.75">
      <c r="M2173" s="61">
        <f>+'Personel Listesi'!C2093</f>
        <v>0</v>
      </c>
    </row>
    <row r="2174" ht="12.75">
      <c r="M2174" s="61">
        <f>+'Personel Listesi'!C2094</f>
        <v>0</v>
      </c>
    </row>
    <row r="2175" ht="12.75">
      <c r="M2175" s="61">
        <f>+'Personel Listesi'!C2095</f>
        <v>0</v>
      </c>
    </row>
    <row r="2176" ht="12.75">
      <c r="M2176" s="61">
        <f>+'Personel Listesi'!C2096</f>
        <v>0</v>
      </c>
    </row>
    <row r="2177" ht="12.75">
      <c r="M2177" s="61">
        <f>+'Personel Listesi'!C2097</f>
        <v>0</v>
      </c>
    </row>
    <row r="2178" ht="12.75">
      <c r="M2178" s="61">
        <f>+'Personel Listesi'!C2098</f>
        <v>0</v>
      </c>
    </row>
    <row r="2179" ht="12.75">
      <c r="M2179" s="61">
        <f>+'Personel Listesi'!C2099</f>
        <v>0</v>
      </c>
    </row>
    <row r="2180" ht="12.75">
      <c r="M2180" s="61">
        <f>+'Personel Listesi'!C2100</f>
        <v>0</v>
      </c>
    </row>
    <row r="2181" ht="12.75">
      <c r="M2181" s="61">
        <f>+'Personel Listesi'!C2101</f>
        <v>0</v>
      </c>
    </row>
    <row r="2182" ht="12.75">
      <c r="M2182" s="61">
        <f>+'Personel Listesi'!C2102</f>
        <v>0</v>
      </c>
    </row>
    <row r="2183" ht="12.75">
      <c r="M2183" s="61">
        <f>+'Personel Listesi'!C2103</f>
        <v>0</v>
      </c>
    </row>
    <row r="2184" ht="12.75">
      <c r="M2184" s="61">
        <f>+'Personel Listesi'!C2104</f>
        <v>0</v>
      </c>
    </row>
    <row r="2185" ht="12.75">
      <c r="M2185" s="61">
        <f>+'Personel Listesi'!C2105</f>
        <v>0</v>
      </c>
    </row>
    <row r="2186" ht="12.75">
      <c r="M2186" s="61">
        <f>+'Personel Listesi'!C2106</f>
        <v>0</v>
      </c>
    </row>
    <row r="2187" ht="12.75">
      <c r="M2187" s="61">
        <f>+'Personel Listesi'!C2107</f>
        <v>0</v>
      </c>
    </row>
    <row r="2188" ht="12.75">
      <c r="M2188" s="61">
        <f>+'Personel Listesi'!C2108</f>
        <v>0</v>
      </c>
    </row>
    <row r="2189" ht="12.75">
      <c r="M2189" s="61">
        <f>+'Personel Listesi'!C2109</f>
        <v>0</v>
      </c>
    </row>
    <row r="2190" ht="12.75">
      <c r="M2190" s="61">
        <f>+'Personel Listesi'!C2110</f>
        <v>0</v>
      </c>
    </row>
    <row r="2191" ht="12.75">
      <c r="M2191" s="61">
        <f>+'Personel Listesi'!C2111</f>
        <v>0</v>
      </c>
    </row>
    <row r="2192" ht="12.75">
      <c r="M2192" s="61">
        <f>+'Personel Listesi'!C2112</f>
        <v>0</v>
      </c>
    </row>
  </sheetData>
  <sheetProtection password="C620" sheet="1"/>
  <mergeCells count="89">
    <mergeCell ref="S11:V17"/>
    <mergeCell ref="I22:J22"/>
    <mergeCell ref="N27:P27"/>
    <mergeCell ref="Q27:S27"/>
    <mergeCell ref="N26:P26"/>
    <mergeCell ref="N23:P23"/>
    <mergeCell ref="K26:M26"/>
    <mergeCell ref="N24:P24"/>
    <mergeCell ref="D24:G24"/>
    <mergeCell ref="D26:G26"/>
    <mergeCell ref="D27:G27"/>
    <mergeCell ref="M15:O15"/>
    <mergeCell ref="K31:M31"/>
    <mergeCell ref="D20:G20"/>
    <mergeCell ref="D21:G21"/>
    <mergeCell ref="D22:G22"/>
    <mergeCell ref="K22:M22"/>
    <mergeCell ref="I20:J20"/>
    <mergeCell ref="I27:J27"/>
    <mergeCell ref="K27:M27"/>
    <mergeCell ref="I25:J25"/>
    <mergeCell ref="D30:G30"/>
    <mergeCell ref="K20:M20"/>
    <mergeCell ref="K21:M21"/>
    <mergeCell ref="K29:M29"/>
    <mergeCell ref="K30:M30"/>
    <mergeCell ref="K24:M24"/>
    <mergeCell ref="D17:H17"/>
    <mergeCell ref="I21:J21"/>
    <mergeCell ref="D29:G29"/>
    <mergeCell ref="I24:J24"/>
    <mergeCell ref="K25:M25"/>
    <mergeCell ref="C3:I3"/>
    <mergeCell ref="D5:I5"/>
    <mergeCell ref="D13:H13"/>
    <mergeCell ref="D14:H14"/>
    <mergeCell ref="D23:G23"/>
    <mergeCell ref="D12:I12"/>
    <mergeCell ref="D15:H15"/>
    <mergeCell ref="D16:H16"/>
    <mergeCell ref="D11:I11"/>
    <mergeCell ref="D6:H6"/>
    <mergeCell ref="D33:G33"/>
    <mergeCell ref="I34:J34"/>
    <mergeCell ref="S2:U2"/>
    <mergeCell ref="S4:U4"/>
    <mergeCell ref="S5:U5"/>
    <mergeCell ref="D10:J10"/>
    <mergeCell ref="D4:I4"/>
    <mergeCell ref="D7:H7"/>
    <mergeCell ref="D8:H8"/>
    <mergeCell ref="S6:U6"/>
    <mergeCell ref="I38:J38"/>
    <mergeCell ref="K38:M38"/>
    <mergeCell ref="I36:J36"/>
    <mergeCell ref="K33:M33"/>
    <mergeCell ref="I35:J35"/>
    <mergeCell ref="K34:M34"/>
    <mergeCell ref="K35:M35"/>
    <mergeCell ref="AP35:AQ35"/>
    <mergeCell ref="D34:G34"/>
    <mergeCell ref="I30:J30"/>
    <mergeCell ref="D9:H9"/>
    <mergeCell ref="C19:G19"/>
    <mergeCell ref="I19:N19"/>
    <mergeCell ref="I23:M23"/>
    <mergeCell ref="I26:J26"/>
    <mergeCell ref="D31:G31"/>
    <mergeCell ref="M14:N14"/>
    <mergeCell ref="I33:J33"/>
    <mergeCell ref="I28:J28"/>
    <mergeCell ref="AM49:AN49"/>
    <mergeCell ref="K28:M28"/>
    <mergeCell ref="K37:M37"/>
    <mergeCell ref="AM34:AQ34"/>
    <mergeCell ref="AP49:AQ49"/>
    <mergeCell ref="I31:J31"/>
    <mergeCell ref="AP46:AQ46"/>
    <mergeCell ref="AM35:AN35"/>
    <mergeCell ref="I32:J32"/>
    <mergeCell ref="AP40:AQ40"/>
    <mergeCell ref="AM48:AQ48"/>
    <mergeCell ref="D25:G25"/>
    <mergeCell ref="D28:G28"/>
    <mergeCell ref="I37:J37"/>
    <mergeCell ref="K32:M32"/>
    <mergeCell ref="L36:M36"/>
    <mergeCell ref="D32:G32"/>
    <mergeCell ref="I29:J29"/>
  </mergeCells>
  <conditionalFormatting sqref="I9 C14 C16 N23 Q23">
    <cfRule type="cellIs" priority="1" dxfId="22" operator="equal" stopIfTrue="1">
      <formula>0</formula>
    </cfRule>
  </conditionalFormatting>
  <conditionalFormatting sqref="I7">
    <cfRule type="cellIs" priority="2" dxfId="22" operator="equal" stopIfTrue="1">
      <formula>""</formula>
    </cfRule>
  </conditionalFormatting>
  <conditionalFormatting sqref="D5:I5">
    <cfRule type="cellIs" priority="3" dxfId="22" operator="equal" stopIfTrue="1">
      <formula>""""""</formula>
    </cfRule>
  </conditionalFormatting>
  <dataValidations count="6">
    <dataValidation type="list" allowBlank="1" showInputMessage="1" showErrorMessage="1" sqref="D5:I5">
      <formula1>$AF$4:$AF$6</formula1>
    </dataValidation>
    <dataValidation type="list" allowBlank="1" showInputMessage="1" showErrorMessage="1" sqref="D4:I4">
      <formula1>$AS$5:$AS$16</formula1>
    </dataValidation>
    <dataValidation type="list" allowBlank="1" showInputMessage="1" showErrorMessage="1" sqref="K36">
      <formula1>$AJ$21:$AJ$22</formula1>
    </dataValidation>
    <dataValidation type="list" allowBlank="1" showInputMessage="1" showErrorMessage="1" sqref="D6:H6">
      <formula1>$AF$10:$AF$11</formula1>
    </dataValidation>
    <dataValidation type="list" allowBlank="1" showInputMessage="1" showErrorMessage="1" sqref="K28:M28 K34:M34">
      <formula1>$AF$14</formula1>
    </dataValidation>
    <dataValidation errorStyle="warning" type="list" allowBlank="1" showInputMessage="1" showErrorMessage="1" error="Girdiğiniz İsim Listede Yok" sqref="D10:J10">
      <formula1>$M$84:$M$2088</formula1>
    </dataValidation>
  </dataValidations>
  <printOptions/>
  <pageMargins left="0.17" right="0.19" top="0.47" bottom="0.49" header="0.24" footer="0.17"/>
  <pageSetup horizontalDpi="600" verticalDpi="600" orientation="portrait" paperSize="9" scale="54" r:id="rId4"/>
  <drawing r:id="rId3"/>
  <legacyDrawing r:id="rId2"/>
</worksheet>
</file>

<file path=xl/worksheets/sheet2.xml><?xml version="1.0" encoding="utf-8"?>
<worksheet xmlns="http://schemas.openxmlformats.org/spreadsheetml/2006/main" xmlns:r="http://schemas.openxmlformats.org/officeDocument/2006/relationships">
  <sheetPr codeName="Sayfa3"/>
  <dimension ref="A1:S171"/>
  <sheetViews>
    <sheetView showGridLines="0" showZeros="0" zoomScale="85" zoomScaleNormal="85" zoomScalePageLayoutView="0" workbookViewId="0" topLeftCell="A1">
      <selection activeCell="D24" sqref="D24"/>
    </sheetView>
  </sheetViews>
  <sheetFormatPr defaultColWidth="9.140625" defaultRowHeight="12.75"/>
  <cols>
    <col min="1" max="1" width="3.00390625" style="62" customWidth="1"/>
    <col min="2" max="2" width="3.140625" style="62" customWidth="1"/>
    <col min="3" max="3" width="61.28125" style="62" bestFit="1" customWidth="1"/>
    <col min="4" max="4" width="28.7109375" style="62" bestFit="1" customWidth="1"/>
    <col min="5" max="5" width="2.00390625" style="62" customWidth="1"/>
    <col min="6" max="6" width="3.28125" style="62" customWidth="1"/>
    <col min="7" max="7" width="57.00390625" style="63" bestFit="1" customWidth="1"/>
    <col min="8" max="8" width="18.28125" style="62" customWidth="1"/>
    <col min="9" max="9" width="3.140625" style="62" customWidth="1"/>
    <col min="10" max="12" width="9.140625" style="62" customWidth="1"/>
    <col min="13" max="23" width="9.140625" style="62" hidden="1" customWidth="1"/>
    <col min="24" max="27" width="9.140625" style="62" customWidth="1"/>
    <col min="28" max="16384" width="9.140625" style="62" customWidth="1"/>
  </cols>
  <sheetData>
    <row r="1" spans="3:7" ht="18">
      <c r="C1" s="140" t="s">
        <v>101</v>
      </c>
      <c r="D1" s="141"/>
      <c r="E1" s="143"/>
      <c r="F1" s="143"/>
      <c r="G1" s="142"/>
    </row>
    <row r="2" spans="4:7" ht="18">
      <c r="D2" s="140" t="s">
        <v>22</v>
      </c>
      <c r="E2" s="143"/>
      <c r="F2" s="143"/>
      <c r="G2" s="144"/>
    </row>
    <row r="3" spans="4:7" ht="18">
      <c r="D3" s="140"/>
      <c r="E3" s="143"/>
      <c r="F3" s="143"/>
      <c r="G3" s="144"/>
    </row>
    <row r="4" spans="4:7" ht="18">
      <c r="D4" s="141" t="s">
        <v>100</v>
      </c>
      <c r="E4" s="143"/>
      <c r="F4" s="143"/>
      <c r="G4" s="145"/>
    </row>
    <row r="5" ht="12.75" hidden="1"/>
    <row r="6" ht="12.75" hidden="1"/>
    <row r="7" ht="12.75" hidden="1"/>
    <row r="8" ht="12.75" hidden="1"/>
    <row r="9" ht="12.75" hidden="1"/>
    <row r="10" spans="9:10" ht="12.75" hidden="1">
      <c r="I10" s="64"/>
      <c r="J10" s="64"/>
    </row>
    <row r="11" spans="6:10" ht="12.75" hidden="1">
      <c r="F11" s="64"/>
      <c r="I11" s="65"/>
      <c r="J11" s="64"/>
    </row>
    <row r="12" spans="6:10" ht="15.75" hidden="1">
      <c r="F12" s="64"/>
      <c r="I12" s="65"/>
      <c r="J12" s="66"/>
    </row>
    <row r="13" spans="3:10" ht="15.75">
      <c r="C13" s="67"/>
      <c r="D13" s="68"/>
      <c r="E13" s="69"/>
      <c r="F13" s="64"/>
      <c r="I13" s="65"/>
      <c r="J13" s="64"/>
    </row>
    <row r="14" spans="3:10" ht="23.25">
      <c r="C14" s="412" t="s">
        <v>171</v>
      </c>
      <c r="D14" s="413"/>
      <c r="F14" s="64"/>
      <c r="G14" s="413" t="s">
        <v>172</v>
      </c>
      <c r="H14" s="413"/>
      <c r="I14" s="70"/>
      <c r="J14" s="64"/>
    </row>
    <row r="15" spans="2:11" ht="36" customHeight="1">
      <c r="B15" s="414" t="s">
        <v>188</v>
      </c>
      <c r="C15" s="71" t="s">
        <v>93</v>
      </c>
      <c r="D15" s="72" t="str">
        <f>+'Bilgi Girişi'!D5:I5</f>
        <v>657 4 / c</v>
      </c>
      <c r="E15" s="73"/>
      <c r="F15" s="73"/>
      <c r="G15" s="74" t="s">
        <v>173</v>
      </c>
      <c r="H15" s="75">
        <f>SUM(D25+D26+D39+D41+D44+D36+D37+D45+D46+D50+D38+D24+D58+D61+D33+D34)</f>
        <v>3217.67</v>
      </c>
      <c r="I15" s="76"/>
      <c r="J15" s="76"/>
      <c r="K15" s="77"/>
    </row>
    <row r="16" spans="2:12" ht="21.75" customHeight="1">
      <c r="B16" s="415"/>
      <c r="C16" s="71" t="s">
        <v>183</v>
      </c>
      <c r="D16" s="78" t="str">
        <f>+'Bilgi Girişi'!D6</f>
        <v>Normal Dönem</v>
      </c>
      <c r="E16" s="73"/>
      <c r="F16" s="73"/>
      <c r="G16" s="79" t="s">
        <v>181</v>
      </c>
      <c r="H16" s="75">
        <f>ROUND(H15*Katsayılar!C5,2)</f>
        <v>24.42</v>
      </c>
      <c r="I16" s="80"/>
      <c r="J16" s="80"/>
      <c r="K16" s="81"/>
      <c r="L16" s="64"/>
    </row>
    <row r="17" spans="2:17" ht="18" customHeight="1">
      <c r="B17" s="415"/>
      <c r="C17" s="71" t="s">
        <v>165</v>
      </c>
      <c r="D17" s="78" t="str">
        <f>+'Bilgi Girişi'!D10</f>
        <v>ÖRNEK KİŞİ</v>
      </c>
      <c r="E17" s="82"/>
      <c r="F17" s="82"/>
      <c r="G17" s="79" t="s">
        <v>186</v>
      </c>
      <c r="H17" s="83">
        <f>+'Bilgi Girişi'!K32</f>
        <v>20804</v>
      </c>
      <c r="I17" s="84"/>
      <c r="J17" s="85"/>
      <c r="K17" s="86"/>
      <c r="L17" s="64"/>
      <c r="O17" s="62">
        <f>DAY('Bilgi Girişi'!D7)</f>
        <v>15</v>
      </c>
      <c r="P17" s="62">
        <f>MONTH('Bilgi Girişi'!D7)</f>
        <v>8</v>
      </c>
      <c r="Q17" s="62">
        <f>YEAR('Bilgi Girişi'!D7)</f>
        <v>2017</v>
      </c>
    </row>
    <row r="18" spans="2:19" ht="18" customHeight="1">
      <c r="B18" s="415"/>
      <c r="C18" s="158" t="s">
        <v>240</v>
      </c>
      <c r="D18" s="159">
        <f>+'Bilgi Girişi'!D12:J12</f>
        <v>0</v>
      </c>
      <c r="E18" s="89"/>
      <c r="F18" s="90"/>
      <c r="G18" s="79" t="s">
        <v>187</v>
      </c>
      <c r="H18" s="83">
        <f>H17+H20</f>
        <v>21619.75</v>
      </c>
      <c r="I18" s="84"/>
      <c r="J18" s="85"/>
      <c r="K18" s="86"/>
      <c r="L18" s="64"/>
      <c r="O18" s="62">
        <f>IF(O17&lt;10,0,"")</f>
      </c>
      <c r="P18" s="62">
        <f>IF(P17&lt;10,0,"")</f>
        <v>0</v>
      </c>
      <c r="S18" s="62" t="str">
        <f>CONCATENATE(O18,O17,"/",P18,P17,"/",Q17)</f>
        <v>15/08/2017</v>
      </c>
    </row>
    <row r="19" spans="2:17" ht="18" customHeight="1">
      <c r="B19" s="415"/>
      <c r="C19" s="158"/>
      <c r="D19" s="200"/>
      <c r="E19" s="89"/>
      <c r="F19" s="90"/>
      <c r="G19" s="79"/>
      <c r="H19" s="83"/>
      <c r="I19" s="84"/>
      <c r="J19" s="85"/>
      <c r="K19" s="86"/>
      <c r="L19" s="64"/>
      <c r="O19" s="62">
        <f>DAY('Bilgi Girişi'!D8)</f>
        <v>14</v>
      </c>
      <c r="P19" s="62">
        <f>MONTH('Bilgi Girişi'!D8)</f>
        <v>9</v>
      </c>
      <c r="Q19" s="62">
        <f>YEAR('Bilgi Girişi'!D8)</f>
        <v>2017</v>
      </c>
    </row>
    <row r="20" spans="2:19" ht="36.75" customHeight="1">
      <c r="B20" s="415"/>
      <c r="C20" s="87" t="s">
        <v>166</v>
      </c>
      <c r="D20" s="91">
        <f>+'Bilgi Girişi'!D11:I11</f>
        <v>0</v>
      </c>
      <c r="E20" s="89"/>
      <c r="F20" s="90"/>
      <c r="G20" s="92" t="s">
        <v>174</v>
      </c>
      <c r="H20" s="75">
        <f>(D25+D33+D34)-(H33+H45+H41+H32+H27)</f>
        <v>815.75</v>
      </c>
      <c r="I20" s="84"/>
      <c r="J20" s="85"/>
      <c r="K20" s="86"/>
      <c r="L20" s="64"/>
      <c r="O20" s="62">
        <f>IF(O19&lt;10,0,"")</f>
      </c>
      <c r="P20" s="62">
        <f>IF(P19&lt;10,0,"")</f>
        <v>0</v>
      </c>
      <c r="S20" s="62" t="str">
        <f>CONCATENATE(O20,O19,"/",P20,P19,"/",Q19)</f>
        <v>14/09/2017</v>
      </c>
    </row>
    <row r="21" spans="2:18" ht="28.5" customHeight="1">
      <c r="B21" s="416"/>
      <c r="C21" s="87" t="s">
        <v>167</v>
      </c>
      <c r="D21" s="93" t="str">
        <f>IF(D17=0,0,CONCATENATE(S18,"--",S20," ",Q21," ",R21))</f>
        <v>15/08/2017--14/09/2017 30 Gün</v>
      </c>
      <c r="E21" s="89"/>
      <c r="F21" s="90"/>
      <c r="G21" s="92" t="s">
        <v>237</v>
      </c>
      <c r="H21" s="94">
        <f>IF(D17=0,0,IF(H18&lt;=Katsayılar!B21,15,IF('Tek Kişilik'!H18&gt;Katsayılar!B21,20,0)))</f>
        <v>20</v>
      </c>
      <c r="I21" s="84"/>
      <c r="J21" s="85"/>
      <c r="K21" s="86"/>
      <c r="L21" s="64"/>
      <c r="Q21" s="95">
        <f>+'Bilgi Girişi'!D26</f>
        <v>30</v>
      </c>
      <c r="R21" s="62" t="s">
        <v>168</v>
      </c>
    </row>
    <row r="22" spans="2:12" ht="15.75">
      <c r="B22" s="417" t="s">
        <v>238</v>
      </c>
      <c r="C22" s="87"/>
      <c r="D22" s="88"/>
      <c r="E22" s="89"/>
      <c r="F22" s="90"/>
      <c r="G22" s="74" t="s">
        <v>23</v>
      </c>
      <c r="H22" s="75">
        <f>ROUND((H20*H21)/100,2)</f>
        <v>163.15</v>
      </c>
      <c r="I22" s="84"/>
      <c r="J22" s="85"/>
      <c r="K22" s="86"/>
      <c r="L22" s="64"/>
    </row>
    <row r="23" spans="2:12" ht="15.75">
      <c r="B23" s="418"/>
      <c r="C23" s="87" t="s">
        <v>224</v>
      </c>
      <c r="D23" s="88">
        <f>+'Bilgi Girişi'!D31+D46-1.97</f>
        <v>2864.04</v>
      </c>
      <c r="E23" s="89"/>
      <c r="F23" s="90"/>
      <c r="G23" s="96" t="s">
        <v>24</v>
      </c>
      <c r="H23" s="154">
        <f>H22-H70</f>
        <v>0</v>
      </c>
      <c r="I23" s="84"/>
      <c r="J23" s="85"/>
      <c r="K23" s="86"/>
      <c r="L23" s="64"/>
    </row>
    <row r="24" spans="2:12" ht="15.75">
      <c r="B24" s="418"/>
      <c r="C24" s="87"/>
      <c r="D24" s="88"/>
      <c r="E24" s="89"/>
      <c r="F24" s="90"/>
      <c r="G24" s="101"/>
      <c r="H24" s="71"/>
      <c r="I24" s="84"/>
      <c r="J24" s="85"/>
      <c r="K24" s="86"/>
      <c r="L24" s="64"/>
    </row>
    <row r="25" spans="2:12" ht="15.75">
      <c r="B25" s="418"/>
      <c r="C25" s="87" t="s">
        <v>225</v>
      </c>
      <c r="D25" s="88">
        <f>+'Bilgi Girişi'!D28:G28</f>
        <v>2650.64</v>
      </c>
      <c r="E25" s="89"/>
      <c r="F25" s="90"/>
      <c r="G25" s="92" t="s">
        <v>178</v>
      </c>
      <c r="H25" s="83">
        <f>ROUND(IF('Bilgi Girişi'!K26&gt;0,'Tek Kişilik'!D25*'Bilgi Girişi'!K26,0),2)</f>
        <v>0</v>
      </c>
      <c r="I25" s="84"/>
      <c r="J25" s="85"/>
      <c r="K25" s="86"/>
      <c r="L25" s="64"/>
    </row>
    <row r="26" spans="2:12" ht="15.75">
      <c r="B26" s="418"/>
      <c r="C26" s="87"/>
      <c r="D26" s="88"/>
      <c r="E26" s="89"/>
      <c r="F26" s="90"/>
      <c r="G26" s="74" t="s">
        <v>184</v>
      </c>
      <c r="H26" s="83">
        <f>+'Bilgi Girişi'!K27</f>
        <v>0</v>
      </c>
      <c r="I26" s="84"/>
      <c r="J26" s="85"/>
      <c r="K26" s="86"/>
      <c r="L26" s="64"/>
    </row>
    <row r="27" spans="2:12" ht="15.75">
      <c r="B27" s="418"/>
      <c r="C27" s="158" t="s">
        <v>243</v>
      </c>
      <c r="D27" s="164">
        <f>+'Bilgi Girişi'!D24:G24</f>
        <v>30</v>
      </c>
      <c r="E27" s="89"/>
      <c r="F27" s="90"/>
      <c r="G27" s="74" t="s">
        <v>179</v>
      </c>
      <c r="H27" s="83">
        <f>IF('Bilgi Girişi'!K24="Hayır",0,ROUND(H15*Katsayılar!F9,2))</f>
        <v>16.09</v>
      </c>
      <c r="I27" s="84"/>
      <c r="J27" s="85"/>
      <c r="K27" s="86"/>
      <c r="L27" s="64"/>
    </row>
    <row r="28" spans="2:12" ht="15.75">
      <c r="B28" s="418"/>
      <c r="C28" s="158" t="s">
        <v>244</v>
      </c>
      <c r="D28" s="164">
        <f>+'Bilgi Girişi'!D25</f>
        <v>0</v>
      </c>
      <c r="E28" s="89"/>
      <c r="F28" s="90"/>
      <c r="G28" s="74"/>
      <c r="H28" s="83">
        <f>+D68</f>
        <v>0</v>
      </c>
      <c r="I28" s="84"/>
      <c r="J28" s="85"/>
      <c r="K28" s="86"/>
      <c r="L28" s="64"/>
    </row>
    <row r="29" spans="2:12" ht="15.75">
      <c r="B29" s="418"/>
      <c r="C29" s="158" t="s">
        <v>245</v>
      </c>
      <c r="D29" s="164">
        <f>+'Bilgi Girişi'!D26:G26</f>
        <v>30</v>
      </c>
      <c r="E29" s="89"/>
      <c r="F29" s="90"/>
      <c r="G29" s="74"/>
      <c r="H29" s="83">
        <f>ROUND(D22*Katsayılar!F22,2)</f>
        <v>0</v>
      </c>
      <c r="I29" s="84"/>
      <c r="J29" s="85"/>
      <c r="K29" s="86"/>
      <c r="L29" s="64"/>
    </row>
    <row r="30" spans="2:12" ht="15.75">
      <c r="B30" s="418"/>
      <c r="C30" s="87"/>
      <c r="D30" s="88"/>
      <c r="E30" s="89"/>
      <c r="F30" s="90"/>
      <c r="G30" s="74" t="str">
        <f>+C67</f>
        <v>Malüllük Yaşlılık Devlet Kat. % 11 </v>
      </c>
      <c r="H30" s="99">
        <f>+D67</f>
        <v>315.04</v>
      </c>
      <c r="I30" s="84"/>
      <c r="J30" s="85"/>
      <c r="K30" s="86"/>
      <c r="L30" s="64"/>
    </row>
    <row r="31" spans="2:12" ht="15.75">
      <c r="B31" s="418"/>
      <c r="C31" s="87"/>
      <c r="D31" s="88"/>
      <c r="E31" s="89"/>
      <c r="F31" s="90"/>
      <c r="G31" s="74" t="str">
        <f>+C65</f>
        <v>Sağlık.S.Primi % 7,5 Devlet Katkısı </v>
      </c>
      <c r="H31" s="97">
        <f>+D65</f>
        <v>214.8</v>
      </c>
      <c r="I31" s="84"/>
      <c r="J31" s="85"/>
      <c r="K31" s="86"/>
      <c r="L31" s="64"/>
    </row>
    <row r="32" spans="2:12" ht="32.25" customHeight="1">
      <c r="B32" s="419"/>
      <c r="C32" s="98"/>
      <c r="E32" s="89"/>
      <c r="F32" s="90"/>
      <c r="G32" s="74" t="s">
        <v>185</v>
      </c>
      <c r="H32" s="99">
        <f>ROUND((D23*Katsayılar!F19)/100,2)</f>
        <v>257.76</v>
      </c>
      <c r="I32" s="84"/>
      <c r="J32" s="85"/>
      <c r="K32" s="86"/>
      <c r="L32" s="64"/>
    </row>
    <row r="33" spans="2:12" ht="34.5" customHeight="1">
      <c r="B33" s="420" t="s">
        <v>189</v>
      </c>
      <c r="C33" s="87" t="s">
        <v>114</v>
      </c>
      <c r="D33" s="88">
        <f>ROUND(IF('Bilgi Girişi'!K20='Bilgi Girişi'!AF17,(Katsayılar!F14*Katsayılar!I28)/30*'Bilgi Girişi'!D26),2)</f>
        <v>260.15</v>
      </c>
      <c r="E33" s="89"/>
      <c r="F33" s="90"/>
      <c r="G33" s="74" t="s">
        <v>43</v>
      </c>
      <c r="H33" s="99">
        <f>ROUND((D23*Katsayılar!F21)/100,2)</f>
        <v>143.2</v>
      </c>
      <c r="I33" s="84"/>
      <c r="J33" s="85"/>
      <c r="K33" s="86"/>
      <c r="L33" s="64"/>
    </row>
    <row r="34" spans="2:12" ht="34.5" customHeight="1">
      <c r="B34" s="421"/>
      <c r="C34" s="87" t="s">
        <v>113</v>
      </c>
      <c r="D34" s="88">
        <f>ROUND(Katsayılar!I28*('Bilgi Girişi'!K21)/30*'Bilgi Girişi'!D26,2)</f>
        <v>122.01</v>
      </c>
      <c r="E34" s="89"/>
      <c r="F34" s="90"/>
      <c r="G34" s="74" t="str">
        <f>+C69</f>
        <v>İş Kazası M.Hast (Kısa Vad.Sig.Koll.) Dev Kat % 2</v>
      </c>
      <c r="H34" s="99">
        <f>+D69</f>
        <v>57.28</v>
      </c>
      <c r="I34" s="84"/>
      <c r="J34" s="85"/>
      <c r="K34" s="86"/>
      <c r="L34" s="64"/>
    </row>
    <row r="35" spans="2:12" ht="32.25" customHeight="1">
      <c r="B35" s="422"/>
      <c r="C35" s="98" t="s">
        <v>42</v>
      </c>
      <c r="D35" s="150">
        <f>ROUND(IF('Bilgi Girişi'!K34="Evet",Katsayılar!I28*2500,0),2)</f>
        <v>0</v>
      </c>
      <c r="E35" s="89"/>
      <c r="F35" s="90"/>
      <c r="G35" s="92" t="s">
        <v>175</v>
      </c>
      <c r="H35" s="83">
        <f>+'Bilgi Girişi'!K29</f>
        <v>0</v>
      </c>
      <c r="I35" s="84"/>
      <c r="J35" s="85"/>
      <c r="K35" s="86"/>
      <c r="L35" s="64"/>
    </row>
    <row r="36" spans="2:12" ht="32.25" customHeight="1">
      <c r="B36" s="423" t="s">
        <v>31</v>
      </c>
      <c r="C36" s="87"/>
      <c r="D36" s="88"/>
      <c r="E36" s="89"/>
      <c r="F36" s="90"/>
      <c r="G36" s="92" t="s">
        <v>176</v>
      </c>
      <c r="H36" s="83">
        <f>SUM(D74-(D33+D34+D65+D67+D68+D39))</f>
        <v>2892.7900000000004</v>
      </c>
      <c r="I36" s="84"/>
      <c r="J36" s="85"/>
      <c r="K36" s="86"/>
      <c r="L36" s="64"/>
    </row>
    <row r="37" spans="2:12" ht="32.25" customHeight="1">
      <c r="B37" s="424"/>
      <c r="C37" s="67"/>
      <c r="D37" s="88"/>
      <c r="E37" s="89"/>
      <c r="F37" s="90"/>
      <c r="G37" s="92" t="s">
        <v>177</v>
      </c>
      <c r="H37" s="83">
        <f>IF('Bilgi Girişi'!K28="",0,ROUND(H36/4,2))</f>
        <v>0</v>
      </c>
      <c r="I37" s="84"/>
      <c r="J37" s="85"/>
      <c r="K37" s="86"/>
      <c r="L37" s="64"/>
    </row>
    <row r="38" spans="2:12" ht="32.25" customHeight="1">
      <c r="B38" s="424"/>
      <c r="C38" s="100"/>
      <c r="D38" s="88"/>
      <c r="E38" s="89"/>
      <c r="F38" s="90"/>
      <c r="G38" s="201" t="s">
        <v>261</v>
      </c>
      <c r="H38" s="131">
        <f>IF(ISERROR(IF('Bilgi Girişi'!K30="",0,VLOOKUP('Bilgi Girişi'!K30,Katsayılar!B16:C18,2,FALSE))),0,IF('Bilgi Girişi'!K30="",0,VLOOKUP('Bilgi Girişi'!K30,Katsayılar!B16:C18,2,FALSE)))</f>
        <v>900</v>
      </c>
      <c r="I38" s="84"/>
      <c r="J38" s="85"/>
      <c r="K38" s="86"/>
      <c r="L38" s="64"/>
    </row>
    <row r="39" spans="2:12" ht="32.25" customHeight="1">
      <c r="B39" s="424"/>
      <c r="C39" s="102" t="s">
        <v>164</v>
      </c>
      <c r="D39" s="88">
        <f>IF('Bilgi Girişi'!K25="Evet",Katsayılar!F8*1,0)</f>
        <v>0</v>
      </c>
      <c r="E39" s="89"/>
      <c r="F39" s="90"/>
      <c r="G39" s="203" t="s">
        <v>260</v>
      </c>
      <c r="H39" s="83">
        <f>D71*2</f>
        <v>0</v>
      </c>
      <c r="I39" s="84"/>
      <c r="J39" s="85"/>
      <c r="K39" s="86"/>
      <c r="L39" s="64"/>
    </row>
    <row r="40" spans="2:12" ht="32.25" customHeight="1">
      <c r="B40" s="425"/>
      <c r="C40" s="87"/>
      <c r="D40" s="71"/>
      <c r="E40" s="89"/>
      <c r="F40" s="90"/>
      <c r="G40" s="149" t="s">
        <v>149</v>
      </c>
      <c r="H40" s="111">
        <f>IF('Bilgi Girişi'!K37="Evet",ROUND((Katsayılar!I28*1500/5),2),0)</f>
        <v>0</v>
      </c>
      <c r="I40" s="84"/>
      <c r="J40" s="85"/>
      <c r="K40" s="86"/>
      <c r="L40" s="64"/>
    </row>
    <row r="41" spans="2:12" ht="32.25" customHeight="1">
      <c r="B41" s="426" t="s">
        <v>32</v>
      </c>
      <c r="C41" s="87" t="s">
        <v>116</v>
      </c>
      <c r="D41" s="88">
        <f>ROUND((Katsayılar!I28*'Bilgi Girişi'!D37),2)</f>
        <v>0</v>
      </c>
      <c r="E41" s="89"/>
      <c r="F41" s="90"/>
      <c r="G41" s="149" t="s">
        <v>150</v>
      </c>
      <c r="H41" s="111">
        <f>IF('Bilgi Girişi'!K38="Evet",Katsayılar!I28*100,0)</f>
        <v>0</v>
      </c>
      <c r="I41" s="84"/>
      <c r="J41" s="85"/>
      <c r="K41" s="86"/>
      <c r="L41" s="64"/>
    </row>
    <row r="42" spans="2:12" ht="22.5" customHeight="1">
      <c r="B42" s="427"/>
      <c r="C42" s="87"/>
      <c r="D42" s="88"/>
      <c r="E42" s="89"/>
      <c r="F42" s="90"/>
      <c r="G42" s="201" t="s">
        <v>255</v>
      </c>
      <c r="H42" s="99">
        <f>IF('Bilgi Girişi'!N27="Evet",ROUNDDOWN((D23*Katsayılar!F17)/100,1),0)</f>
        <v>0</v>
      </c>
      <c r="I42" s="84"/>
      <c r="J42" s="85"/>
      <c r="K42" s="86"/>
      <c r="L42" s="64"/>
    </row>
    <row r="43" spans="2:12" ht="22.5" customHeight="1">
      <c r="B43" s="427"/>
      <c r="C43" s="87"/>
      <c r="D43" s="88"/>
      <c r="E43" s="89"/>
      <c r="F43" s="90"/>
      <c r="G43" s="101"/>
      <c r="H43" s="71"/>
      <c r="I43" s="84"/>
      <c r="J43" s="85"/>
      <c r="K43" s="86"/>
      <c r="L43" s="64"/>
    </row>
    <row r="44" spans="2:12" ht="22.5" customHeight="1">
      <c r="B44" s="427"/>
      <c r="C44" s="87"/>
      <c r="D44" s="88"/>
      <c r="E44" s="89"/>
      <c r="F44" s="90"/>
      <c r="G44" s="203" t="s">
        <v>260</v>
      </c>
      <c r="H44" s="205">
        <f>IF(ISERROR(VLOOKUP(D17,'Personel Listesi'!C6:AT55,44,FALSE)),0,VLOOKUP(D17,'Personel Listesi'!C6:AT55,44,FALSE))</f>
        <v>2</v>
      </c>
      <c r="I44" s="84"/>
      <c r="J44" s="85"/>
      <c r="K44" s="86"/>
      <c r="L44" s="64"/>
    </row>
    <row r="45" spans="2:12" ht="15.75">
      <c r="B45" s="427"/>
      <c r="C45" s="87" t="s">
        <v>30</v>
      </c>
      <c r="D45" s="88">
        <f>ROUND((((9500*Katsayılar!I28)*'Bilgi Girişi'!D34/100)/30)*'Bilgi Girişi'!D26,2)</f>
        <v>0</v>
      </c>
      <c r="E45" s="89"/>
      <c r="F45" s="90"/>
      <c r="G45" s="203" t="s">
        <v>262</v>
      </c>
      <c r="H45" s="204">
        <f>H38*H44</f>
        <v>1800</v>
      </c>
      <c r="I45" s="84"/>
      <c r="J45" s="85"/>
      <c r="K45" s="86"/>
      <c r="L45" s="64"/>
    </row>
    <row r="46" spans="2:12" ht="15.75">
      <c r="B46" s="427"/>
      <c r="C46" s="87" t="s">
        <v>226</v>
      </c>
      <c r="D46" s="199">
        <f>ROUND(((Katsayılar!I28*'Bilgi Girişi'!D15)/30)*'Bilgi Girişi'!D27,2)</f>
        <v>184.87</v>
      </c>
      <c r="E46" s="89"/>
      <c r="F46" s="90"/>
      <c r="G46" s="101"/>
      <c r="H46" s="71"/>
      <c r="I46" s="84"/>
      <c r="J46" s="85"/>
      <c r="K46" s="86"/>
      <c r="L46" s="64"/>
    </row>
    <row r="47" spans="2:12" ht="15.75">
      <c r="B47" s="427"/>
      <c r="C47" s="87"/>
      <c r="D47" s="103"/>
      <c r="E47" s="89"/>
      <c r="F47" s="90"/>
      <c r="G47" s="74"/>
      <c r="H47" s="83"/>
      <c r="I47" s="84"/>
      <c r="J47" s="85"/>
      <c r="K47" s="86"/>
      <c r="L47" s="64"/>
    </row>
    <row r="48" spans="2:12" ht="15.75">
      <c r="B48" s="427"/>
      <c r="C48" s="87"/>
      <c r="D48" s="103"/>
      <c r="E48" s="89"/>
      <c r="F48" s="90"/>
      <c r="G48" s="74"/>
      <c r="H48" s="83"/>
      <c r="I48" s="84"/>
      <c r="J48" s="85"/>
      <c r="K48" s="86"/>
      <c r="L48" s="64"/>
    </row>
    <row r="49" spans="2:12" ht="15.75">
      <c r="B49" s="427"/>
      <c r="C49" s="87"/>
      <c r="D49" s="104"/>
      <c r="E49" s="89"/>
      <c r="F49" s="90"/>
      <c r="G49" s="74"/>
      <c r="H49" s="83"/>
      <c r="I49" s="84"/>
      <c r="J49" s="85"/>
      <c r="K49" s="86"/>
      <c r="L49" s="64"/>
    </row>
    <row r="50" spans="2:12" ht="15.75">
      <c r="B50" s="427"/>
      <c r="C50" s="87"/>
      <c r="D50" s="104"/>
      <c r="E50" s="89"/>
      <c r="F50" s="90"/>
      <c r="G50" s="74"/>
      <c r="H50" s="83"/>
      <c r="I50" s="84"/>
      <c r="J50" s="85"/>
      <c r="K50" s="86"/>
      <c r="L50" s="64"/>
    </row>
    <row r="51" spans="2:12" ht="21" customHeight="1">
      <c r="B51" s="428" t="s">
        <v>241</v>
      </c>
      <c r="C51" s="158" t="s">
        <v>58</v>
      </c>
      <c r="D51" s="160" t="str">
        <f>+'Bilgi Girişi'!K20</f>
        <v>Evli Eşi Çalışmıyor</v>
      </c>
      <c r="E51" s="89"/>
      <c r="F51" s="90"/>
      <c r="G51" s="74"/>
      <c r="H51" s="83"/>
      <c r="I51" s="84"/>
      <c r="J51" s="85"/>
      <c r="K51" s="86"/>
      <c r="L51" s="64"/>
    </row>
    <row r="52" spans="2:12" ht="15.75">
      <c r="B52" s="429"/>
      <c r="C52" s="158" t="s">
        <v>60</v>
      </c>
      <c r="D52" s="161">
        <f>+'Bilgi Girişi'!K22</f>
        <v>3</v>
      </c>
      <c r="E52" s="89"/>
      <c r="F52" s="90"/>
      <c r="G52" s="74"/>
      <c r="H52" s="83"/>
      <c r="I52" s="84"/>
      <c r="J52" s="85"/>
      <c r="K52" s="86"/>
      <c r="L52" s="64"/>
    </row>
    <row r="53" spans="2:12" ht="15.75">
      <c r="B53" s="429"/>
      <c r="C53" s="158" t="s">
        <v>242</v>
      </c>
      <c r="D53" s="163">
        <f>+'Bilgi Girişi'!K21</f>
        <v>1188</v>
      </c>
      <c r="E53" s="89"/>
      <c r="F53" s="90"/>
      <c r="G53" s="74"/>
      <c r="H53" s="83"/>
      <c r="I53" s="84"/>
      <c r="J53" s="85"/>
      <c r="K53" s="86"/>
      <c r="L53" s="64"/>
    </row>
    <row r="54" spans="2:12" ht="15.75">
      <c r="B54" s="429"/>
      <c r="C54" s="87">
        <f>IF(D54=0,0,"Özelleştirme İçin Karşılaştırılacak Bu Kurumdaki Net Tutar")</f>
        <v>0</v>
      </c>
      <c r="D54" s="88"/>
      <c r="E54" s="89"/>
      <c r="F54" s="90"/>
      <c r="G54" s="74"/>
      <c r="H54" s="83"/>
      <c r="I54" s="84"/>
      <c r="J54" s="85"/>
      <c r="K54" s="86"/>
      <c r="L54" s="64"/>
    </row>
    <row r="55" spans="2:12" ht="18">
      <c r="B55" s="429"/>
      <c r="C55" s="105">
        <f>IF(D55=0,0,"Özelleştirme Tazminatı")</f>
        <v>0</v>
      </c>
      <c r="D55" s="88"/>
      <c r="E55" s="89"/>
      <c r="F55" s="90"/>
      <c r="G55" s="74"/>
      <c r="H55" s="83"/>
      <c r="I55" s="84"/>
      <c r="J55" s="85"/>
      <c r="K55" s="86"/>
      <c r="L55" s="64"/>
    </row>
    <row r="56" spans="2:12" ht="15.75">
      <c r="B56" s="429"/>
      <c r="C56" s="87"/>
      <c r="D56" s="88"/>
      <c r="E56" s="89"/>
      <c r="F56" s="90"/>
      <c r="G56" s="74"/>
      <c r="H56" s="83"/>
      <c r="I56" s="84"/>
      <c r="J56" s="85"/>
      <c r="K56" s="86"/>
      <c r="L56" s="64"/>
    </row>
    <row r="57" spans="2:12" ht="15.75">
      <c r="B57" s="429"/>
      <c r="C57" s="87"/>
      <c r="D57" s="88"/>
      <c r="E57" s="89"/>
      <c r="F57" s="90"/>
      <c r="G57" s="74"/>
      <c r="H57" s="83"/>
      <c r="I57" s="84"/>
      <c r="J57" s="85"/>
      <c r="K57" s="86"/>
      <c r="L57" s="64"/>
    </row>
    <row r="58" spans="2:12" ht="15.75">
      <c r="B58" s="429"/>
      <c r="C58" s="87"/>
      <c r="D58" s="88"/>
      <c r="E58" s="89"/>
      <c r="F58" s="90"/>
      <c r="G58" s="74"/>
      <c r="H58" s="83"/>
      <c r="I58" s="84"/>
      <c r="J58" s="85"/>
      <c r="K58" s="86"/>
      <c r="L58" s="64"/>
    </row>
    <row r="59" spans="2:12" ht="15.75">
      <c r="B59" s="429"/>
      <c r="C59" s="87"/>
      <c r="D59" s="88"/>
      <c r="E59" s="89"/>
      <c r="F59" s="90"/>
      <c r="G59" s="74"/>
      <c r="H59" s="83"/>
      <c r="I59" s="84"/>
      <c r="J59" s="85"/>
      <c r="K59" s="86"/>
      <c r="L59" s="64"/>
    </row>
    <row r="60" spans="2:12" ht="15.75">
      <c r="B60" s="429"/>
      <c r="C60" s="87"/>
      <c r="D60" s="88"/>
      <c r="E60" s="89"/>
      <c r="F60" s="90"/>
      <c r="G60" s="74"/>
      <c r="H60" s="83"/>
      <c r="I60" s="84"/>
      <c r="J60" s="85"/>
      <c r="K60" s="86"/>
      <c r="L60" s="64"/>
    </row>
    <row r="61" spans="2:12" ht="15.75">
      <c r="B61" s="430"/>
      <c r="C61" s="87"/>
      <c r="D61" s="88"/>
      <c r="E61" s="89"/>
      <c r="F61" s="90"/>
      <c r="G61" s="74"/>
      <c r="H61" s="83"/>
      <c r="I61" s="84"/>
      <c r="J61" s="85"/>
      <c r="K61" s="86"/>
      <c r="L61" s="64"/>
    </row>
    <row r="62" spans="2:12" ht="15.75">
      <c r="B62" s="410" t="s">
        <v>239</v>
      </c>
      <c r="C62" s="87"/>
      <c r="D62" s="88"/>
      <c r="E62" s="89"/>
      <c r="F62" s="90"/>
      <c r="G62" s="74"/>
      <c r="H62" s="83"/>
      <c r="I62" s="84"/>
      <c r="J62" s="85"/>
      <c r="K62" s="86"/>
      <c r="L62" s="64"/>
    </row>
    <row r="63" spans="2:12" ht="15.75">
      <c r="B63" s="411"/>
      <c r="C63" s="87"/>
      <c r="D63" s="88"/>
      <c r="E63" s="89"/>
      <c r="F63" s="90"/>
      <c r="G63" s="74"/>
      <c r="H63" s="83"/>
      <c r="I63" s="84"/>
      <c r="J63" s="85"/>
      <c r="K63" s="86"/>
      <c r="L63" s="64"/>
    </row>
    <row r="64" spans="2:12" ht="19.5" customHeight="1">
      <c r="B64" s="411"/>
      <c r="C64" s="106"/>
      <c r="D64" s="88"/>
      <c r="E64" s="89"/>
      <c r="F64" s="90"/>
      <c r="G64" s="101"/>
      <c r="H64" s="71"/>
      <c r="I64" s="84"/>
      <c r="J64" s="85"/>
      <c r="K64" s="86"/>
      <c r="L64" s="64"/>
    </row>
    <row r="65" spans="2:12" ht="15.75">
      <c r="B65" s="411"/>
      <c r="C65" s="87" t="s">
        <v>233</v>
      </c>
      <c r="D65" s="88">
        <f>ROUND(IF($D$23&lt;=0,0,$D$23*Katsayılar!F20/100),2)</f>
        <v>214.8</v>
      </c>
      <c r="E65" s="89"/>
      <c r="F65" s="90"/>
      <c r="G65" s="101"/>
      <c r="H65" s="71"/>
      <c r="I65" s="84"/>
      <c r="J65" s="85"/>
      <c r="K65" s="86"/>
      <c r="L65" s="64"/>
    </row>
    <row r="66" spans="2:12" ht="15.75">
      <c r="B66" s="411"/>
      <c r="C66" s="87"/>
      <c r="E66" s="89"/>
      <c r="F66" s="90"/>
      <c r="G66" s="107"/>
      <c r="H66" s="108"/>
      <c r="I66" s="84"/>
      <c r="J66" s="85"/>
      <c r="K66" s="86"/>
      <c r="L66" s="64"/>
    </row>
    <row r="67" spans="2:12" ht="15.75">
      <c r="B67" s="411"/>
      <c r="C67" s="87" t="s">
        <v>234</v>
      </c>
      <c r="D67" s="88">
        <f>ROUND(IF($D$23&lt;=0,0,$D$23*Katsayılar!F18/100),2)</f>
        <v>315.04</v>
      </c>
      <c r="E67" s="89"/>
      <c r="F67" s="90"/>
      <c r="G67" s="107"/>
      <c r="H67" s="109">
        <f>ROUND((9500*Katsayılar!I28)*H66/100,2)</f>
        <v>0</v>
      </c>
      <c r="I67" s="84"/>
      <c r="J67" s="85"/>
      <c r="K67" s="86"/>
      <c r="L67" s="64"/>
    </row>
    <row r="68" spans="2:12" ht="15.75">
      <c r="B68" s="411"/>
      <c r="C68" s="87"/>
      <c r="D68" s="88">
        <f>ROUND((D22*Katsayılar!F23),2)</f>
        <v>0</v>
      </c>
      <c r="E68" s="89"/>
      <c r="F68" s="90"/>
      <c r="G68" s="115" t="s">
        <v>180</v>
      </c>
      <c r="H68" s="116">
        <f>SUM(H16+H22+H25+H26+H27+H28+H29+H30+H31+H33+H32+H35+H37+H34+H39+H40+H41+H42)</f>
        <v>1191.74</v>
      </c>
      <c r="I68" s="84"/>
      <c r="J68" s="85"/>
      <c r="K68" s="86"/>
      <c r="L68" s="64"/>
    </row>
    <row r="69" spans="3:12" ht="15.75">
      <c r="C69" s="110" t="s">
        <v>235</v>
      </c>
      <c r="D69" s="88">
        <f>ROUND(IF($D$23&lt;=0,0,$D$23*Katsayılar!F22/100),2)</f>
        <v>57.28</v>
      </c>
      <c r="E69" s="112"/>
      <c r="F69" s="113"/>
      <c r="G69" s="74"/>
      <c r="H69" s="94"/>
      <c r="I69" s="84"/>
      <c r="J69" s="85"/>
      <c r="K69" s="86"/>
      <c r="L69" s="64"/>
    </row>
    <row r="70" spans="3:12" ht="15.75">
      <c r="C70" s="110">
        <f>IF(D70=0,0,"İndirim Konusu Özel Siğorta  Tutarı")</f>
        <v>0</v>
      </c>
      <c r="D70" s="111">
        <f>IF(D69&gt;'Bilgi Girişi'!L36,'Bilgi Girişi'!L36,'Tek Kişilik'!D69)</f>
        <v>0</v>
      </c>
      <c r="E70" s="112"/>
      <c r="F70" s="113"/>
      <c r="G70" s="92" t="s">
        <v>22</v>
      </c>
      <c r="H70" s="83">
        <f>+'Asgari Geçim İnd.'!AG8</f>
        <v>163.15</v>
      </c>
      <c r="I70" s="84"/>
      <c r="J70" s="85"/>
      <c r="K70" s="86"/>
      <c r="L70" s="64"/>
    </row>
    <row r="71" spans="3:12" ht="15.75">
      <c r="C71" s="132"/>
      <c r="D71" s="132">
        <f>IF('Bilgi Girişi'!D5='Bilgi Girişi'!AF5,0,IF('Bilgi Girişi'!AF9="01/10/2008 den Önceki+Kıst Dönem",0,IF(D27+D30+D63=0,0,((D62-D63)+(D26-D27)+(D29-D30)))))</f>
        <v>0</v>
      </c>
      <c r="E71" s="112"/>
      <c r="F71" s="113"/>
      <c r="G71" s="74"/>
      <c r="H71" s="94"/>
      <c r="I71" s="84"/>
      <c r="J71" s="85"/>
      <c r="K71" s="86"/>
      <c r="L71" s="64"/>
    </row>
    <row r="72" spans="3:12" ht="15.75">
      <c r="C72" s="87" t="s">
        <v>29</v>
      </c>
      <c r="D72" s="114">
        <f>SUM(D25+D29+D44+D58+D36+D38+D41+D40)</f>
        <v>2680.64</v>
      </c>
      <c r="E72" s="112"/>
      <c r="F72" s="113"/>
      <c r="G72" s="74"/>
      <c r="H72" s="94"/>
      <c r="I72" s="84"/>
      <c r="J72" s="85"/>
      <c r="K72" s="86"/>
      <c r="L72" s="64"/>
    </row>
    <row r="73" spans="3:12" ht="12.75">
      <c r="C73" s="71"/>
      <c r="D73" s="71"/>
      <c r="E73" s="112"/>
      <c r="F73" s="113"/>
      <c r="I73" s="84"/>
      <c r="J73" s="85"/>
      <c r="K73" s="86"/>
      <c r="L73" s="64"/>
    </row>
    <row r="74" spans="3:12" ht="27.75">
      <c r="C74" s="87" t="s">
        <v>170</v>
      </c>
      <c r="D74" s="117">
        <f>SUM(D25+D26+D41+D44+D36+D37+D45+D46+D50+D38+D33+D34+D24+D65+D67+D68+D39+D58+D61+D69+D55+D71+D35)</f>
        <v>3804.7900000000004</v>
      </c>
      <c r="E74" s="112"/>
      <c r="F74" s="113"/>
      <c r="G74" s="118" t="s">
        <v>25</v>
      </c>
      <c r="H74" s="119">
        <f>D74-H68+H70</f>
        <v>2776.2000000000003</v>
      </c>
      <c r="I74" s="84"/>
      <c r="J74" s="85"/>
      <c r="K74" s="86"/>
      <c r="L74" s="64"/>
    </row>
    <row r="75" spans="1:12" ht="15">
      <c r="A75" s="64"/>
      <c r="B75" s="64"/>
      <c r="C75" s="64"/>
      <c r="D75" s="64"/>
      <c r="E75" s="64"/>
      <c r="F75" s="64"/>
      <c r="G75" s="120"/>
      <c r="H75" s="64"/>
      <c r="I75" s="84"/>
      <c r="J75" s="85"/>
      <c r="K75" s="86"/>
      <c r="L75" s="64"/>
    </row>
    <row r="76" spans="1:12" ht="15.75">
      <c r="A76" s="64"/>
      <c r="B76" s="64"/>
      <c r="C76" s="67"/>
      <c r="D76" s="121"/>
      <c r="E76" s="64"/>
      <c r="F76" s="64"/>
      <c r="G76" s="122"/>
      <c r="H76" s="64"/>
      <c r="I76" s="84"/>
      <c r="J76" s="85"/>
      <c r="K76" s="86"/>
      <c r="L76" s="64"/>
    </row>
    <row r="77" spans="1:12" ht="14.25">
      <c r="A77" s="64"/>
      <c r="B77" s="64"/>
      <c r="C77" s="64"/>
      <c r="D77" s="64"/>
      <c r="E77" s="64"/>
      <c r="F77" s="64"/>
      <c r="G77" s="123"/>
      <c r="H77" s="64"/>
      <c r="I77" s="84"/>
      <c r="J77" s="85"/>
      <c r="K77" s="86"/>
      <c r="L77" s="64"/>
    </row>
    <row r="78" spans="1:12" ht="14.25">
      <c r="A78" s="64"/>
      <c r="B78" s="64"/>
      <c r="C78" s="64"/>
      <c r="D78" s="64"/>
      <c r="E78" s="64"/>
      <c r="F78" s="64"/>
      <c r="G78" s="123"/>
      <c r="H78" s="64"/>
      <c r="I78" s="84"/>
      <c r="J78" s="85"/>
      <c r="K78" s="86"/>
      <c r="L78" s="64"/>
    </row>
    <row r="79" spans="1:12" ht="14.25">
      <c r="A79" s="64"/>
      <c r="B79" s="64"/>
      <c r="C79" s="64"/>
      <c r="D79" s="64"/>
      <c r="E79" s="64"/>
      <c r="F79" s="64"/>
      <c r="G79" s="123"/>
      <c r="H79" s="64"/>
      <c r="I79" s="84"/>
      <c r="J79" s="85"/>
      <c r="K79" s="86"/>
      <c r="L79" s="64"/>
    </row>
    <row r="80" spans="1:12" ht="14.25">
      <c r="A80" s="124"/>
      <c r="B80" s="124"/>
      <c r="C80" s="124"/>
      <c r="D80" s="124"/>
      <c r="E80" s="124"/>
      <c r="F80" s="124"/>
      <c r="G80" s="125"/>
      <c r="H80" s="124"/>
      <c r="I80" s="124"/>
      <c r="J80" s="124"/>
      <c r="K80" s="124"/>
      <c r="L80" s="124"/>
    </row>
    <row r="81" spans="1:12" ht="14.25">
      <c r="A81" s="64"/>
      <c r="B81" s="64"/>
      <c r="C81" s="64"/>
      <c r="D81" s="64"/>
      <c r="E81" s="64"/>
      <c r="F81" s="64"/>
      <c r="G81" s="123"/>
      <c r="H81" s="64"/>
      <c r="I81" s="64"/>
      <c r="J81" s="64"/>
      <c r="K81" s="64"/>
      <c r="L81" s="64"/>
    </row>
    <row r="82" spans="7:12" ht="14.25">
      <c r="G82" s="126"/>
      <c r="I82" s="64"/>
      <c r="J82" s="64"/>
      <c r="K82" s="64"/>
      <c r="L82" s="64"/>
    </row>
    <row r="83" spans="7:12" ht="14.25">
      <c r="G83" s="126"/>
      <c r="K83" s="64"/>
      <c r="L83" s="64"/>
    </row>
    <row r="84" spans="7:12" ht="14.25">
      <c r="G84" s="126"/>
      <c r="K84" s="64"/>
      <c r="L84" s="64"/>
    </row>
    <row r="85" spans="7:12" ht="14.25">
      <c r="G85" s="126"/>
      <c r="K85" s="64"/>
      <c r="L85" s="64"/>
    </row>
    <row r="86" spans="7:12" ht="14.25">
      <c r="G86" s="126"/>
      <c r="K86" s="64"/>
      <c r="L86" s="64"/>
    </row>
    <row r="87" spans="7:12" ht="14.25">
      <c r="G87" s="126"/>
      <c r="K87" s="64"/>
      <c r="L87" s="64"/>
    </row>
    <row r="88" spans="7:12" ht="14.25">
      <c r="G88" s="126"/>
      <c r="K88" s="64"/>
      <c r="L88" s="64"/>
    </row>
    <row r="89" spans="7:12" ht="14.25">
      <c r="G89" s="126"/>
      <c r="K89" s="64"/>
      <c r="L89" s="64"/>
    </row>
    <row r="90" spans="7:12" ht="14.25">
      <c r="G90" s="126"/>
      <c r="K90" s="64"/>
      <c r="L90" s="64"/>
    </row>
    <row r="91" spans="7:12" ht="14.25">
      <c r="G91" s="126"/>
      <c r="K91" s="64"/>
      <c r="L91" s="64"/>
    </row>
    <row r="92" spans="7:12" ht="14.25">
      <c r="G92" s="126"/>
      <c r="K92" s="64"/>
      <c r="L92" s="64"/>
    </row>
    <row r="93" spans="7:12" ht="14.25">
      <c r="G93" s="126"/>
      <c r="K93" s="64"/>
      <c r="L93" s="64"/>
    </row>
    <row r="94" spans="7:12" ht="14.25">
      <c r="G94" s="126"/>
      <c r="K94" s="64"/>
      <c r="L94" s="64"/>
    </row>
    <row r="95" spans="7:12" ht="14.25">
      <c r="G95" s="126"/>
      <c r="K95" s="64"/>
      <c r="L95" s="64"/>
    </row>
    <row r="96" spans="7:12" ht="14.25">
      <c r="G96" s="126"/>
      <c r="K96" s="64"/>
      <c r="L96" s="64"/>
    </row>
    <row r="97" spans="7:12" ht="14.25">
      <c r="G97" s="126"/>
      <c r="K97" s="64"/>
      <c r="L97" s="64"/>
    </row>
    <row r="98" spans="7:12" ht="14.25">
      <c r="G98" s="126"/>
      <c r="K98" s="64"/>
      <c r="L98" s="64"/>
    </row>
    <row r="99" spans="7:12" ht="14.25">
      <c r="G99" s="126"/>
      <c r="K99" s="64"/>
      <c r="L99" s="64"/>
    </row>
    <row r="100" spans="7:12" ht="14.25">
      <c r="G100" s="126"/>
      <c r="K100" s="64"/>
      <c r="L100" s="64"/>
    </row>
    <row r="101" spans="7:12" ht="14.25">
      <c r="G101" s="126"/>
      <c r="K101" s="64"/>
      <c r="L101" s="64"/>
    </row>
    <row r="102" spans="7:12" ht="14.25">
      <c r="G102" s="126"/>
      <c r="K102" s="64"/>
      <c r="L102" s="64"/>
    </row>
    <row r="103" spans="7:12" ht="14.25">
      <c r="G103" s="126"/>
      <c r="K103" s="64"/>
      <c r="L103" s="64"/>
    </row>
    <row r="104" spans="7:12" ht="14.25">
      <c r="G104" s="126"/>
      <c r="K104" s="64"/>
      <c r="L104" s="64"/>
    </row>
    <row r="105" spans="7:12" ht="14.25">
      <c r="G105" s="126"/>
      <c r="K105" s="64"/>
      <c r="L105" s="64"/>
    </row>
    <row r="106" spans="7:12" ht="14.25">
      <c r="G106" s="126"/>
      <c r="K106" s="64"/>
      <c r="L106" s="64"/>
    </row>
    <row r="107" spans="7:12" ht="14.25">
      <c r="G107" s="126"/>
      <c r="K107" s="64"/>
      <c r="L107" s="64"/>
    </row>
    <row r="108" spans="7:12" ht="14.25">
      <c r="G108" s="126"/>
      <c r="K108" s="64"/>
      <c r="L108" s="64"/>
    </row>
    <row r="109" spans="7:12" ht="14.25">
      <c r="G109" s="126"/>
      <c r="K109" s="64"/>
      <c r="L109" s="64"/>
    </row>
    <row r="110" spans="7:12" ht="14.25">
      <c r="G110" s="126"/>
      <c r="K110" s="64"/>
      <c r="L110" s="64"/>
    </row>
    <row r="111" spans="7:12" ht="14.25">
      <c r="G111" s="126"/>
      <c r="K111" s="64"/>
      <c r="L111" s="64"/>
    </row>
    <row r="112" spans="7:12" ht="14.25">
      <c r="G112" s="126"/>
      <c r="K112" s="64"/>
      <c r="L112" s="64"/>
    </row>
    <row r="113" spans="7:12" ht="14.25">
      <c r="G113" s="126"/>
      <c r="K113" s="64"/>
      <c r="L113" s="64"/>
    </row>
    <row r="114" spans="7:12" ht="14.25">
      <c r="G114" s="126"/>
      <c r="K114" s="64"/>
      <c r="L114" s="64"/>
    </row>
    <row r="115" spans="7:12" ht="14.25">
      <c r="G115" s="126"/>
      <c r="K115" s="64"/>
      <c r="L115" s="64"/>
    </row>
    <row r="116" spans="7:12" ht="14.25">
      <c r="G116" s="126"/>
      <c r="K116" s="64"/>
      <c r="L116" s="64"/>
    </row>
    <row r="117" spans="7:12" ht="14.25">
      <c r="G117" s="126"/>
      <c r="K117" s="64"/>
      <c r="L117" s="64"/>
    </row>
    <row r="118" spans="7:12" ht="14.25">
      <c r="G118" s="126"/>
      <c r="K118" s="64"/>
      <c r="L118" s="64"/>
    </row>
    <row r="119" spans="7:12" ht="14.25">
      <c r="G119" s="126"/>
      <c r="K119" s="64"/>
      <c r="L119" s="64"/>
    </row>
    <row r="120" spans="7:12" ht="14.25">
      <c r="G120" s="126"/>
      <c r="K120" s="64"/>
      <c r="L120" s="64"/>
    </row>
    <row r="121" spans="7:12" ht="14.25">
      <c r="G121" s="126"/>
      <c r="K121" s="64"/>
      <c r="L121" s="64"/>
    </row>
    <row r="122" spans="7:12" ht="14.25">
      <c r="G122" s="126"/>
      <c r="K122" s="64"/>
      <c r="L122" s="64"/>
    </row>
    <row r="123" spans="7:12" ht="14.25">
      <c r="G123" s="126"/>
      <c r="K123" s="64"/>
      <c r="L123" s="64"/>
    </row>
    <row r="124" spans="7:12" ht="14.25">
      <c r="G124" s="126"/>
      <c r="K124" s="64"/>
      <c r="L124" s="64"/>
    </row>
    <row r="125" spans="7:12" ht="14.25">
      <c r="G125" s="126"/>
      <c r="K125" s="64"/>
      <c r="L125" s="64"/>
    </row>
    <row r="126" spans="7:12" ht="14.25">
      <c r="G126" s="126"/>
      <c r="K126" s="64"/>
      <c r="L126" s="64"/>
    </row>
    <row r="127" spans="7:12" ht="14.25">
      <c r="G127" s="126"/>
      <c r="K127" s="64"/>
      <c r="L127" s="64"/>
    </row>
    <row r="128" spans="7:12" ht="14.25">
      <c r="G128" s="126"/>
      <c r="K128" s="64"/>
      <c r="L128" s="64"/>
    </row>
    <row r="129" spans="7:12" ht="14.25">
      <c r="G129" s="126"/>
      <c r="K129" s="64"/>
      <c r="L129" s="64"/>
    </row>
    <row r="130" ht="14.25">
      <c r="G130" s="126"/>
    </row>
    <row r="131" ht="14.25">
      <c r="G131" s="126"/>
    </row>
    <row r="132" ht="14.25">
      <c r="G132" s="126"/>
    </row>
    <row r="133" ht="14.25">
      <c r="G133" s="126"/>
    </row>
    <row r="134" ht="14.25">
      <c r="G134" s="126"/>
    </row>
    <row r="135" ht="14.25">
      <c r="G135" s="126"/>
    </row>
    <row r="136" ht="14.25">
      <c r="G136" s="126"/>
    </row>
    <row r="137" ht="14.25">
      <c r="G137" s="126"/>
    </row>
    <row r="138" ht="14.25">
      <c r="G138" s="126"/>
    </row>
    <row r="139" ht="14.25">
      <c r="G139" s="126"/>
    </row>
    <row r="140" ht="14.25">
      <c r="G140" s="126"/>
    </row>
    <row r="141" ht="14.25">
      <c r="G141" s="126"/>
    </row>
    <row r="142" ht="14.25">
      <c r="G142" s="126"/>
    </row>
    <row r="143" ht="14.25">
      <c r="G143" s="126"/>
    </row>
    <row r="144" ht="14.25">
      <c r="G144" s="126"/>
    </row>
    <row r="145" ht="14.25">
      <c r="G145" s="126"/>
    </row>
    <row r="146" ht="14.25">
      <c r="G146" s="126"/>
    </row>
    <row r="147" ht="14.25">
      <c r="G147" s="126"/>
    </row>
    <row r="148" ht="14.25">
      <c r="G148" s="126"/>
    </row>
    <row r="149" ht="14.25">
      <c r="G149" s="126"/>
    </row>
    <row r="150" ht="14.25">
      <c r="G150" s="126"/>
    </row>
    <row r="151" ht="14.25">
      <c r="G151" s="126"/>
    </row>
    <row r="152" ht="14.25">
      <c r="G152" s="126"/>
    </row>
    <row r="153" ht="14.25">
      <c r="G153" s="126"/>
    </row>
    <row r="154" ht="14.25">
      <c r="G154" s="126"/>
    </row>
    <row r="155" ht="14.25">
      <c r="G155" s="126"/>
    </row>
    <row r="156" ht="14.25">
      <c r="G156" s="126"/>
    </row>
    <row r="157" ht="14.25">
      <c r="G157" s="126"/>
    </row>
    <row r="158" ht="14.25">
      <c r="G158" s="126"/>
    </row>
    <row r="159" ht="14.25">
      <c r="G159" s="126"/>
    </row>
    <row r="160" ht="14.25">
      <c r="G160" s="126"/>
    </row>
    <row r="161" ht="14.25">
      <c r="G161" s="126"/>
    </row>
    <row r="162" ht="14.25">
      <c r="G162" s="126"/>
    </row>
    <row r="163" ht="14.25">
      <c r="G163" s="126"/>
    </row>
    <row r="164" ht="14.25">
      <c r="G164" s="126"/>
    </row>
    <row r="165" ht="14.25">
      <c r="G165" s="126"/>
    </row>
    <row r="166" ht="14.25">
      <c r="G166" s="126"/>
    </row>
    <row r="167" ht="14.25">
      <c r="G167" s="126"/>
    </row>
    <row r="168" ht="14.25">
      <c r="G168" s="126"/>
    </row>
    <row r="169" ht="14.25">
      <c r="G169" s="126"/>
    </row>
    <row r="170" ht="14.25">
      <c r="G170" s="126"/>
    </row>
    <row r="171" ht="14.25">
      <c r="G171" s="126"/>
    </row>
  </sheetData>
  <sheetProtection password="C620" sheet="1"/>
  <mergeCells count="9">
    <mergeCell ref="B62:B68"/>
    <mergeCell ref="C14:D14"/>
    <mergeCell ref="G14:H14"/>
    <mergeCell ref="B15:B21"/>
    <mergeCell ref="B22:B32"/>
    <mergeCell ref="B33:B35"/>
    <mergeCell ref="B36:B40"/>
    <mergeCell ref="B41:B50"/>
    <mergeCell ref="B51:B61"/>
  </mergeCells>
  <hyperlinks>
    <hyperlink ref="C1" location="'Bilgi Girişi'!A1" display="'Bilgi Girişi'!A1"/>
    <hyperlink ref="D2" location="'Asgari Geçim İnd.'!A1" display="'Asgari Geçim İnd.'!A1"/>
    <hyperlink ref="D4" location="Katsayılar!A1" display="Katsayılar!A1"/>
  </hyperlinks>
  <printOptions/>
  <pageMargins left="0.17" right="0.17" top="0.43" bottom="0.49" header="0.29" footer="0.28"/>
  <pageSetup horizontalDpi="600" verticalDpi="600" orientation="portrait" paperSize="9" scale="5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codeName="Sayfa16"/>
  <dimension ref="A1:DZ50"/>
  <sheetViews>
    <sheetView showGridLines="0" showZeros="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2.75"/>
  <cols>
    <col min="1" max="2" width="9.140625" style="61" customWidth="1"/>
    <col min="3" max="3" width="32.7109375" style="61" bestFit="1" customWidth="1"/>
    <col min="4" max="4" width="22.00390625" style="61" bestFit="1" customWidth="1"/>
    <col min="5" max="5" width="19.57421875" style="61" bestFit="1" customWidth="1"/>
    <col min="6" max="6" width="18.8515625" style="61" hidden="1" customWidth="1"/>
    <col min="7" max="7" width="26.421875" style="61" hidden="1" customWidth="1"/>
    <col min="8" max="8" width="15.421875" style="61" hidden="1" customWidth="1"/>
    <col min="9" max="9" width="18.140625" style="61" hidden="1" customWidth="1"/>
    <col min="10" max="10" width="28.7109375" style="61" hidden="1" customWidth="1"/>
    <col min="11" max="11" width="13.421875" style="61" hidden="1" customWidth="1"/>
    <col min="12" max="12" width="20.7109375" style="61" hidden="1" customWidth="1"/>
    <col min="13" max="13" width="14.140625" style="61" customWidth="1"/>
    <col min="14" max="15" width="12.28125" style="61" customWidth="1"/>
    <col min="16" max="17" width="9.8515625" style="61" customWidth="1"/>
    <col min="18" max="18" width="16.140625" style="61" bestFit="1" customWidth="1"/>
    <col min="19" max="19" width="8.7109375" style="61" customWidth="1"/>
    <col min="20" max="20" width="14.8515625" style="61" customWidth="1"/>
    <col min="21" max="21" width="14.7109375" style="258" customWidth="1"/>
    <col min="22" max="22" width="14.57421875" style="61" customWidth="1"/>
    <col min="23" max="23" width="14.140625" style="61" bestFit="1" customWidth="1"/>
    <col min="24" max="24" width="14.00390625" style="61" customWidth="1"/>
    <col min="25" max="25" width="14.57421875" style="61" customWidth="1"/>
    <col min="26" max="26" width="14.140625" style="61" bestFit="1" customWidth="1"/>
    <col min="27" max="27" width="13.57421875" style="61" customWidth="1"/>
    <col min="28" max="28" width="21.28125" style="61" customWidth="1"/>
    <col min="29" max="29" width="14.140625" style="61" bestFit="1" customWidth="1"/>
    <col min="30" max="30" width="10.00390625" style="61" bestFit="1" customWidth="1"/>
    <col min="31" max="31" width="7.7109375" style="61" customWidth="1"/>
    <col min="32" max="32" width="15.421875" style="61" bestFit="1" customWidth="1"/>
    <col min="33" max="33" width="16.00390625" style="61" hidden="1" customWidth="1"/>
    <col min="34" max="34" width="15.57421875" style="61" hidden="1" customWidth="1"/>
    <col min="35" max="35" width="35.28125" style="61" hidden="1" customWidth="1"/>
    <col min="36" max="36" width="9.140625" style="61" customWidth="1"/>
    <col min="37" max="37" width="12.00390625" style="61" bestFit="1" customWidth="1"/>
    <col min="38" max="38" width="16.00390625" style="61" bestFit="1" customWidth="1"/>
    <col min="39" max="39" width="14.28125" style="61" bestFit="1" customWidth="1"/>
    <col min="40" max="43" width="13.8515625" style="61" hidden="1" customWidth="1"/>
    <col min="44" max="44" width="23.421875" style="218" hidden="1" customWidth="1"/>
    <col min="45" max="45" width="9.140625" style="61" customWidth="1"/>
    <col min="46" max="46" width="13.421875" style="219" customWidth="1"/>
    <col min="47" max="47" width="9.140625" style="61" customWidth="1"/>
    <col min="48" max="48" width="33.140625" style="61" customWidth="1"/>
    <col min="49" max="50" width="9.140625" style="61" customWidth="1"/>
    <col min="51" max="51" width="0" style="61" hidden="1" customWidth="1"/>
    <col min="52" max="52" width="0" style="219" hidden="1" customWidth="1"/>
    <col min="53" max="54" width="9.140625" style="61" customWidth="1"/>
    <col min="55" max="55" width="17.140625" style="61" customWidth="1"/>
    <col min="56" max="16384" width="9.140625" style="61" customWidth="1"/>
  </cols>
  <sheetData>
    <row r="1" spans="3:52" ht="25.5">
      <c r="C1" s="306" t="s">
        <v>279</v>
      </c>
      <c r="D1" s="307">
        <v>42962</v>
      </c>
      <c r="U1" s="61"/>
      <c r="V1" s="218">
        <f ca="1">TODAY()</f>
        <v>44096</v>
      </c>
      <c r="AR1" s="61"/>
      <c r="AZ1" s="61"/>
    </row>
    <row r="2" spans="3:55" ht="12.75">
      <c r="C2" s="219">
        <v>1</v>
      </c>
      <c r="D2" s="219">
        <v>2</v>
      </c>
      <c r="E2" s="219">
        <v>3</v>
      </c>
      <c r="F2" s="219">
        <v>4</v>
      </c>
      <c r="G2" s="219">
        <v>5</v>
      </c>
      <c r="H2" s="219">
        <v>6</v>
      </c>
      <c r="I2" s="219">
        <v>7</v>
      </c>
      <c r="J2" s="219">
        <v>8</v>
      </c>
      <c r="K2" s="219">
        <v>9</v>
      </c>
      <c r="L2" s="219">
        <v>10</v>
      </c>
      <c r="M2" s="219">
        <v>11</v>
      </c>
      <c r="N2" s="219">
        <v>12</v>
      </c>
      <c r="O2" s="219">
        <v>13</v>
      </c>
      <c r="P2" s="219">
        <v>14</v>
      </c>
      <c r="Q2" s="219">
        <v>15</v>
      </c>
      <c r="R2" s="219">
        <v>16</v>
      </c>
      <c r="S2" s="219">
        <v>17</v>
      </c>
      <c r="T2" s="219">
        <v>18</v>
      </c>
      <c r="U2" s="219">
        <v>19</v>
      </c>
      <c r="V2" s="219">
        <v>20</v>
      </c>
      <c r="W2" s="219">
        <v>21</v>
      </c>
      <c r="X2" s="219">
        <v>22</v>
      </c>
      <c r="Y2" s="219">
        <v>23</v>
      </c>
      <c r="Z2" s="219">
        <v>24</v>
      </c>
      <c r="AA2" s="219">
        <v>25</v>
      </c>
      <c r="AB2" s="219">
        <v>26</v>
      </c>
      <c r="AC2" s="219">
        <v>27</v>
      </c>
      <c r="AD2" s="219">
        <v>28</v>
      </c>
      <c r="AE2" s="219">
        <v>29</v>
      </c>
      <c r="AF2" s="219">
        <v>30</v>
      </c>
      <c r="AG2" s="219">
        <v>31</v>
      </c>
      <c r="AH2" s="219">
        <v>32</v>
      </c>
      <c r="AI2" s="219">
        <v>33</v>
      </c>
      <c r="AJ2" s="219">
        <v>34</v>
      </c>
      <c r="AK2" s="219">
        <v>35</v>
      </c>
      <c r="AL2" s="219">
        <v>36</v>
      </c>
      <c r="AM2" s="219">
        <v>37</v>
      </c>
      <c r="AN2" s="219">
        <v>38</v>
      </c>
      <c r="AO2" s="219">
        <v>39</v>
      </c>
      <c r="AP2" s="219">
        <v>40</v>
      </c>
      <c r="AQ2" s="219">
        <v>41</v>
      </c>
      <c r="AR2" s="219">
        <v>42</v>
      </c>
      <c r="AS2" s="219">
        <v>43</v>
      </c>
      <c r="AT2" s="219">
        <v>44</v>
      </c>
      <c r="AU2" s="219">
        <v>45</v>
      </c>
      <c r="AV2" s="219">
        <v>46</v>
      </c>
      <c r="AW2" s="219">
        <v>47</v>
      </c>
      <c r="AX2" s="219">
        <v>48</v>
      </c>
      <c r="AY2" s="219">
        <v>49</v>
      </c>
      <c r="AZ2" s="219">
        <v>50</v>
      </c>
      <c r="BA2" s="219">
        <v>51</v>
      </c>
      <c r="BB2" s="219">
        <v>52</v>
      </c>
      <c r="BC2" s="219">
        <v>53</v>
      </c>
    </row>
    <row r="3" spans="20:50" ht="24.75" customHeight="1">
      <c r="T3" s="463" t="s">
        <v>73</v>
      </c>
      <c r="U3" s="464"/>
      <c r="V3" s="465"/>
      <c r="W3" s="466" t="s">
        <v>74</v>
      </c>
      <c r="X3" s="467"/>
      <c r="Y3" s="468"/>
      <c r="Z3" s="469" t="s">
        <v>75</v>
      </c>
      <c r="AA3" s="470"/>
      <c r="AB3" s="471"/>
      <c r="AC3" s="472" t="s">
        <v>76</v>
      </c>
      <c r="AD3" s="473"/>
      <c r="AE3" s="474"/>
      <c r="AF3" s="433" t="s">
        <v>190</v>
      </c>
      <c r="AW3" s="476" t="s">
        <v>16</v>
      </c>
      <c r="AX3" s="476"/>
    </row>
    <row r="4" spans="2:55" ht="45.75" customHeight="1">
      <c r="B4" s="461" t="s">
        <v>41</v>
      </c>
      <c r="C4" s="462" t="s">
        <v>191</v>
      </c>
      <c r="D4" s="458" t="s">
        <v>192</v>
      </c>
      <c r="E4" s="458" t="s">
        <v>193</v>
      </c>
      <c r="F4" s="458" t="s">
        <v>194</v>
      </c>
      <c r="G4" s="458" t="s">
        <v>166</v>
      </c>
      <c r="H4" s="458" t="s">
        <v>195</v>
      </c>
      <c r="I4" s="458" t="s">
        <v>257</v>
      </c>
      <c r="J4" s="458" t="s">
        <v>196</v>
      </c>
      <c r="K4" s="459" t="s">
        <v>197</v>
      </c>
      <c r="L4" s="458" t="s">
        <v>198</v>
      </c>
      <c r="M4" s="459" t="s">
        <v>199</v>
      </c>
      <c r="N4" s="442" t="s">
        <v>277</v>
      </c>
      <c r="O4" s="442" t="s">
        <v>276</v>
      </c>
      <c r="P4" s="442" t="s">
        <v>227</v>
      </c>
      <c r="Q4" s="442" t="s">
        <v>228</v>
      </c>
      <c r="R4" s="454" t="s">
        <v>200</v>
      </c>
      <c r="S4" s="454" t="s">
        <v>201</v>
      </c>
      <c r="T4" s="456" t="s">
        <v>202</v>
      </c>
      <c r="U4" s="456" t="s">
        <v>203</v>
      </c>
      <c r="V4" s="477" t="s">
        <v>204</v>
      </c>
      <c r="W4" s="479" t="s">
        <v>202</v>
      </c>
      <c r="X4" s="479" t="s">
        <v>203</v>
      </c>
      <c r="Y4" s="481" t="s">
        <v>204</v>
      </c>
      <c r="Z4" s="446" t="s">
        <v>202</v>
      </c>
      <c r="AA4" s="446" t="s">
        <v>203</v>
      </c>
      <c r="AB4" s="448" t="s">
        <v>204</v>
      </c>
      <c r="AC4" s="450" t="s">
        <v>202</v>
      </c>
      <c r="AD4" s="450" t="s">
        <v>203</v>
      </c>
      <c r="AE4" s="452" t="s">
        <v>204</v>
      </c>
      <c r="AF4" s="475"/>
      <c r="AG4" s="221" t="s">
        <v>246</v>
      </c>
      <c r="AH4" s="221"/>
      <c r="AI4" s="222" t="s">
        <v>205</v>
      </c>
      <c r="AJ4" s="442" t="s">
        <v>206</v>
      </c>
      <c r="AK4" s="444" t="s">
        <v>207</v>
      </c>
      <c r="AL4" s="444" t="s">
        <v>208</v>
      </c>
      <c r="AM4" s="444" t="s">
        <v>209</v>
      </c>
      <c r="AN4" s="437" t="s">
        <v>210</v>
      </c>
      <c r="AO4" s="437" t="s">
        <v>211</v>
      </c>
      <c r="AP4" s="437" t="s">
        <v>212</v>
      </c>
      <c r="AQ4" s="439" t="s">
        <v>213</v>
      </c>
      <c r="AR4" s="440" t="s">
        <v>214</v>
      </c>
      <c r="AS4" s="441" t="s">
        <v>215</v>
      </c>
      <c r="AT4" s="441" t="s">
        <v>259</v>
      </c>
      <c r="AU4" s="441" t="s">
        <v>216</v>
      </c>
      <c r="AV4" s="432" t="s">
        <v>217</v>
      </c>
      <c r="AW4" s="433" t="s">
        <v>218</v>
      </c>
      <c r="AX4" s="433" t="s">
        <v>219</v>
      </c>
      <c r="AY4" s="435" t="s">
        <v>220</v>
      </c>
      <c r="AZ4" s="433" t="s">
        <v>221</v>
      </c>
      <c r="BA4" s="431" t="s">
        <v>248</v>
      </c>
      <c r="BB4" s="431" t="s">
        <v>250</v>
      </c>
      <c r="BC4" s="324" t="s">
        <v>256</v>
      </c>
    </row>
    <row r="5" spans="2:55" ht="30.75" customHeight="1">
      <c r="B5" s="461"/>
      <c r="C5" s="462"/>
      <c r="D5" s="458"/>
      <c r="E5" s="458"/>
      <c r="F5" s="458"/>
      <c r="G5" s="458"/>
      <c r="H5" s="458"/>
      <c r="I5" s="458"/>
      <c r="J5" s="458"/>
      <c r="K5" s="460"/>
      <c r="L5" s="458"/>
      <c r="M5" s="460"/>
      <c r="N5" s="443"/>
      <c r="O5" s="443"/>
      <c r="P5" s="443"/>
      <c r="Q5" s="443"/>
      <c r="R5" s="455"/>
      <c r="S5" s="455"/>
      <c r="T5" s="457"/>
      <c r="U5" s="457"/>
      <c r="V5" s="478"/>
      <c r="W5" s="480"/>
      <c r="X5" s="480"/>
      <c r="Y5" s="482"/>
      <c r="Z5" s="447"/>
      <c r="AA5" s="447"/>
      <c r="AB5" s="449"/>
      <c r="AC5" s="451"/>
      <c r="AD5" s="451"/>
      <c r="AE5" s="453"/>
      <c r="AF5" s="434"/>
      <c r="AG5" s="224"/>
      <c r="AH5" s="224"/>
      <c r="AI5" s="225"/>
      <c r="AJ5" s="443"/>
      <c r="AK5" s="445"/>
      <c r="AL5" s="445"/>
      <c r="AM5" s="445"/>
      <c r="AN5" s="438"/>
      <c r="AO5" s="438"/>
      <c r="AP5" s="438"/>
      <c r="AQ5" s="439"/>
      <c r="AR5" s="440"/>
      <c r="AS5" s="441"/>
      <c r="AT5" s="441"/>
      <c r="AU5" s="441"/>
      <c r="AV5" s="432"/>
      <c r="AW5" s="434"/>
      <c r="AX5" s="434"/>
      <c r="AY5" s="436"/>
      <c r="AZ5" s="434"/>
      <c r="BA5" s="431"/>
      <c r="BB5" s="431"/>
      <c r="BC5" s="325"/>
    </row>
    <row r="6" spans="2:67" ht="19.5" customHeight="1">
      <c r="B6" s="226">
        <f>IF(E6=0,0,1)</f>
        <v>1</v>
      </c>
      <c r="C6" s="227" t="str">
        <f aca="true" t="shared" si="0" ref="C6:C50">CONCATENATE(D6," ",E6)</f>
        <v>ÖRNEK KİŞİ</v>
      </c>
      <c r="D6" s="298" t="s">
        <v>283</v>
      </c>
      <c r="E6" s="298" t="s">
        <v>284</v>
      </c>
      <c r="F6" s="228"/>
      <c r="G6" s="229"/>
      <c r="H6" s="228"/>
      <c r="I6" s="230"/>
      <c r="J6" s="228"/>
      <c r="K6" s="231"/>
      <c r="L6" s="232"/>
      <c r="M6" s="233">
        <f>ROUND(IF(N6&lt;=0,0,N6/30),4)</f>
        <v>88.3547</v>
      </c>
      <c r="N6" s="302">
        <v>2650.64</v>
      </c>
      <c r="O6" s="302"/>
      <c r="P6" s="326" t="s">
        <v>222</v>
      </c>
      <c r="Q6" s="326"/>
      <c r="R6" s="303" t="s">
        <v>223</v>
      </c>
      <c r="S6" s="304">
        <v>3</v>
      </c>
      <c r="T6" s="308">
        <v>38959</v>
      </c>
      <c r="U6" s="234">
        <f>IF(T6="",0,($D$1-T6)/365*12)</f>
        <v>131.6054794520548</v>
      </c>
      <c r="V6" s="235">
        <f>IF(U6=0,0,IF(U6&lt;=72,(297*2),297))</f>
        <v>297</v>
      </c>
      <c r="W6" s="309">
        <v>39542</v>
      </c>
      <c r="X6" s="234">
        <f>IF(W6="",0,($D$1-W6)/365*12)</f>
        <v>112.43835616438356</v>
      </c>
      <c r="Y6" s="236">
        <f>IF(X6=0,0,IF(X6&lt;=72,(297*2),297))</f>
        <v>297</v>
      </c>
      <c r="Z6" s="310">
        <v>41371</v>
      </c>
      <c r="AA6" s="234">
        <f>IF(Z6="",0,($D$1-Z6)/365*12)</f>
        <v>52.30684931506849</v>
      </c>
      <c r="AB6" s="237">
        <f>IF(AA6=0,0,IF(AA6&lt;=72,(297*2),297))</f>
        <v>594</v>
      </c>
      <c r="AC6" s="311"/>
      <c r="AD6" s="234">
        <f>IF(AC6="",0,($D$1-AC6)/365*12)</f>
        <v>0</v>
      </c>
      <c r="AE6" s="238">
        <f>IF(AD6=0,0,IF(AD6&lt;=72,(297*2),297))</f>
        <v>0</v>
      </c>
      <c r="AF6" s="239">
        <f>V6+Y6+AB6+AE6</f>
        <v>1188</v>
      </c>
      <c r="AG6" s="231"/>
      <c r="AH6" s="231"/>
      <c r="AI6" s="240"/>
      <c r="AJ6" s="241" t="str">
        <f>IF(AL6="","Hayır","EVET")</f>
        <v>EVET</v>
      </c>
      <c r="AK6" s="313"/>
      <c r="AL6" s="314">
        <v>1</v>
      </c>
      <c r="AM6" s="315" t="s">
        <v>281</v>
      </c>
      <c r="AN6" s="316"/>
      <c r="AO6" s="317"/>
      <c r="AP6" s="317"/>
      <c r="AQ6" s="329"/>
      <c r="AR6" s="330"/>
      <c r="AS6" s="320" t="s">
        <v>115</v>
      </c>
      <c r="AT6" s="321">
        <v>2</v>
      </c>
      <c r="AU6" s="320" t="s">
        <v>130</v>
      </c>
      <c r="AV6" s="320" t="s">
        <v>282</v>
      </c>
      <c r="AW6" s="130" t="s">
        <v>222</v>
      </c>
      <c r="AX6" s="323" t="s">
        <v>222</v>
      </c>
      <c r="AY6" s="242"/>
      <c r="AZ6" s="220"/>
      <c r="BA6" s="38">
        <f>ROUND(IF(AX6="Evet",100*Katsayılar!$I$28,0),2)</f>
        <v>0</v>
      </c>
      <c r="BB6" s="38">
        <f>IF(B6&lt;=0,0,1800)</f>
        <v>1800</v>
      </c>
      <c r="BC6" s="323"/>
      <c r="BO6" s="61" t="s">
        <v>152</v>
      </c>
    </row>
    <row r="7" spans="2:67" ht="19.5" customHeight="1">
      <c r="B7" s="226">
        <f aca="true" t="shared" si="1" ref="B7:B50">IF(E7=0,0,1)</f>
        <v>0</v>
      </c>
      <c r="C7" s="227" t="str">
        <f t="shared" si="0"/>
        <v> </v>
      </c>
      <c r="D7" s="299"/>
      <c r="E7" s="300"/>
      <c r="F7" s="228"/>
      <c r="G7" s="229"/>
      <c r="H7" s="228"/>
      <c r="I7" s="230"/>
      <c r="J7" s="228"/>
      <c r="K7" s="231"/>
      <c r="L7" s="232"/>
      <c r="M7" s="233">
        <f aca="true" t="shared" si="2" ref="M7:M50">ROUND(IF(N7&lt;=0,0,N7/30),4)</f>
        <v>0</v>
      </c>
      <c r="N7" s="302"/>
      <c r="O7" s="302"/>
      <c r="P7" s="326"/>
      <c r="Q7" s="326"/>
      <c r="R7" s="303"/>
      <c r="S7" s="305"/>
      <c r="T7" s="308"/>
      <c r="U7" s="234">
        <f aca="true" t="shared" si="3" ref="U7:U19">IF(T7="",0,($D$1-T7)/365*12)</f>
        <v>0</v>
      </c>
      <c r="V7" s="235">
        <f aca="true" t="shared" si="4" ref="V7:V19">IF(U7=0,0,IF(U7&lt;=72,(297*2),297))</f>
        <v>0</v>
      </c>
      <c r="W7" s="309"/>
      <c r="X7" s="234">
        <f aca="true" t="shared" si="5" ref="X7:X19">IF(W7="",0,($D$1-W7)/365*12)</f>
        <v>0</v>
      </c>
      <c r="Y7" s="236">
        <f aca="true" t="shared" si="6" ref="Y7:Y19">IF(X7=0,0,IF(X7&lt;=72,(297*2),297))</f>
        <v>0</v>
      </c>
      <c r="Z7" s="310"/>
      <c r="AA7" s="234">
        <f aca="true" t="shared" si="7" ref="AA7:AA19">IF(Z7="",0,($D$1-Z7)/365*12)</f>
        <v>0</v>
      </c>
      <c r="AB7" s="237">
        <f aca="true" t="shared" si="8" ref="AB7:AB19">IF(AA7=0,0,IF(AA7&lt;=72,(297*2),297))</f>
        <v>0</v>
      </c>
      <c r="AC7" s="311"/>
      <c r="AD7" s="234">
        <f aca="true" t="shared" si="9" ref="AD7:AD19">IF(AC7="",0,($D$1-AC7)/365*12)</f>
        <v>0</v>
      </c>
      <c r="AE7" s="238">
        <f aca="true" t="shared" si="10" ref="AE7:AE19">IF(AD7=0,0,IF(AD7&lt;=72,(297*2),297))</f>
        <v>0</v>
      </c>
      <c r="AF7" s="239">
        <f aca="true" t="shared" si="11" ref="AF7:AF50">V7+Y7+AB7+AE7</f>
        <v>0</v>
      </c>
      <c r="AG7" s="231"/>
      <c r="AH7" s="231"/>
      <c r="AI7" s="240"/>
      <c r="AJ7" s="241" t="str">
        <f aca="true" t="shared" si="12" ref="AJ7:AJ19">IF(AL7="","Hayır","EVET")</f>
        <v>Hayır</v>
      </c>
      <c r="AK7" s="318"/>
      <c r="AL7" s="314"/>
      <c r="AM7" s="315"/>
      <c r="AN7" s="316"/>
      <c r="AO7" s="317"/>
      <c r="AP7" s="317"/>
      <c r="AQ7" s="329"/>
      <c r="AR7" s="330"/>
      <c r="AS7" s="320"/>
      <c r="AT7" s="321"/>
      <c r="AU7" s="320"/>
      <c r="AV7" s="320"/>
      <c r="AW7" s="130"/>
      <c r="AX7" s="130"/>
      <c r="AY7" s="242"/>
      <c r="AZ7" s="220"/>
      <c r="BA7" s="38">
        <f>ROUND(IF(AX7="Evet",100*Katsayılar!$I$28,0),2)</f>
        <v>0</v>
      </c>
      <c r="BB7" s="38">
        <f>IF(B7&lt;=0,0,1800)</f>
        <v>0</v>
      </c>
      <c r="BC7" s="323"/>
      <c r="BO7" s="61" t="s">
        <v>155</v>
      </c>
    </row>
    <row r="8" spans="2:67" ht="19.5" customHeight="1">
      <c r="B8" s="226">
        <f t="shared" si="1"/>
        <v>0</v>
      </c>
      <c r="C8" s="243" t="str">
        <f t="shared" si="0"/>
        <v> </v>
      </c>
      <c r="D8" s="300"/>
      <c r="E8" s="300"/>
      <c r="F8" s="228"/>
      <c r="G8" s="229"/>
      <c r="H8" s="228"/>
      <c r="I8" s="230"/>
      <c r="J8" s="228"/>
      <c r="K8" s="231"/>
      <c r="L8" s="232"/>
      <c r="M8" s="233">
        <f t="shared" si="2"/>
        <v>0</v>
      </c>
      <c r="N8" s="302"/>
      <c r="O8" s="302"/>
      <c r="P8" s="326"/>
      <c r="Q8" s="326"/>
      <c r="R8" s="303"/>
      <c r="S8" s="304"/>
      <c r="T8" s="308"/>
      <c r="U8" s="234">
        <f t="shared" si="3"/>
        <v>0</v>
      </c>
      <c r="V8" s="235">
        <f t="shared" si="4"/>
        <v>0</v>
      </c>
      <c r="W8" s="309"/>
      <c r="X8" s="234">
        <f t="shared" si="5"/>
        <v>0</v>
      </c>
      <c r="Y8" s="236">
        <f t="shared" si="6"/>
        <v>0</v>
      </c>
      <c r="Z8" s="310"/>
      <c r="AA8" s="234">
        <f t="shared" si="7"/>
        <v>0</v>
      </c>
      <c r="AB8" s="237">
        <f t="shared" si="8"/>
        <v>0</v>
      </c>
      <c r="AC8" s="311"/>
      <c r="AD8" s="234">
        <f t="shared" si="9"/>
        <v>0</v>
      </c>
      <c r="AE8" s="238">
        <f t="shared" si="10"/>
        <v>0</v>
      </c>
      <c r="AF8" s="239">
        <f t="shared" si="11"/>
        <v>0</v>
      </c>
      <c r="AG8" s="231"/>
      <c r="AH8" s="231"/>
      <c r="AI8" s="240"/>
      <c r="AJ8" s="241" t="str">
        <f t="shared" si="12"/>
        <v>Hayır</v>
      </c>
      <c r="AK8" s="318"/>
      <c r="AL8" s="314"/>
      <c r="AM8" s="315"/>
      <c r="AN8" s="319"/>
      <c r="AO8" s="317"/>
      <c r="AP8" s="317"/>
      <c r="AQ8" s="329"/>
      <c r="AR8" s="312"/>
      <c r="AS8" s="320"/>
      <c r="AT8" s="321"/>
      <c r="AU8" s="320"/>
      <c r="AV8" s="320"/>
      <c r="AW8" s="130"/>
      <c r="AX8" s="130"/>
      <c r="AY8" s="244"/>
      <c r="AZ8" s="245"/>
      <c r="BA8" s="38">
        <f>ROUND(IF(AX8="Evet",100*Katsayılar!$I$28,0),2)</f>
        <v>0</v>
      </c>
      <c r="BB8" s="38">
        <f aca="true" t="shared" si="13" ref="BB8:BB50">IF(B8&lt;=0,0,1800)</f>
        <v>0</v>
      </c>
      <c r="BC8" s="323"/>
      <c r="BO8" s="61" t="s">
        <v>154</v>
      </c>
    </row>
    <row r="9" spans="2:67" ht="19.5" customHeight="1">
      <c r="B9" s="226">
        <f t="shared" si="1"/>
        <v>0</v>
      </c>
      <c r="C9" s="227" t="str">
        <f t="shared" si="0"/>
        <v> </v>
      </c>
      <c r="D9" s="300"/>
      <c r="E9" s="300"/>
      <c r="F9" s="228"/>
      <c r="G9" s="229"/>
      <c r="H9" s="228"/>
      <c r="I9" s="230"/>
      <c r="J9" s="228"/>
      <c r="K9" s="231"/>
      <c r="L9" s="232"/>
      <c r="M9" s="233">
        <f t="shared" si="2"/>
        <v>0</v>
      </c>
      <c r="N9" s="302"/>
      <c r="O9" s="302"/>
      <c r="P9" s="326"/>
      <c r="Q9" s="326"/>
      <c r="R9" s="303"/>
      <c r="S9" s="304"/>
      <c r="T9" s="308"/>
      <c r="U9" s="234">
        <f t="shared" si="3"/>
        <v>0</v>
      </c>
      <c r="V9" s="235">
        <f t="shared" si="4"/>
        <v>0</v>
      </c>
      <c r="W9" s="309"/>
      <c r="X9" s="234">
        <f t="shared" si="5"/>
        <v>0</v>
      </c>
      <c r="Y9" s="236">
        <f t="shared" si="6"/>
        <v>0</v>
      </c>
      <c r="Z9" s="310"/>
      <c r="AA9" s="234">
        <f t="shared" si="7"/>
        <v>0</v>
      </c>
      <c r="AB9" s="237">
        <f t="shared" si="8"/>
        <v>0</v>
      </c>
      <c r="AC9" s="311"/>
      <c r="AD9" s="234">
        <f t="shared" si="9"/>
        <v>0</v>
      </c>
      <c r="AE9" s="238">
        <f t="shared" si="10"/>
        <v>0</v>
      </c>
      <c r="AF9" s="239">
        <f t="shared" si="11"/>
        <v>0</v>
      </c>
      <c r="AG9" s="231"/>
      <c r="AH9" s="231"/>
      <c r="AI9" s="240"/>
      <c r="AJ9" s="241" t="str">
        <f t="shared" si="12"/>
        <v>Hayır</v>
      </c>
      <c r="AK9" s="318"/>
      <c r="AL9" s="314"/>
      <c r="AM9" s="315"/>
      <c r="AN9" s="317"/>
      <c r="AO9" s="317"/>
      <c r="AP9" s="317"/>
      <c r="AQ9" s="329"/>
      <c r="AR9" s="330"/>
      <c r="AS9" s="320"/>
      <c r="AT9" s="321"/>
      <c r="AU9" s="320"/>
      <c r="AV9" s="320"/>
      <c r="AW9" s="130"/>
      <c r="AX9" s="130"/>
      <c r="AY9" s="242"/>
      <c r="AZ9" s="220"/>
      <c r="BA9" s="38">
        <f>ROUND(IF(AX9="Evet",100*Katsayılar!$I$28,0),2)</f>
        <v>0</v>
      </c>
      <c r="BB9" s="38">
        <f t="shared" si="13"/>
        <v>0</v>
      </c>
      <c r="BC9" s="323"/>
      <c r="BO9" s="61" t="s">
        <v>223</v>
      </c>
    </row>
    <row r="10" spans="2:56" ht="19.5" customHeight="1">
      <c r="B10" s="226">
        <f t="shared" si="1"/>
        <v>0</v>
      </c>
      <c r="C10" s="227" t="str">
        <f t="shared" si="0"/>
        <v> </v>
      </c>
      <c r="D10" s="300"/>
      <c r="E10" s="300"/>
      <c r="F10" s="228"/>
      <c r="G10" s="229"/>
      <c r="H10" s="228"/>
      <c r="I10" s="230"/>
      <c r="J10" s="228"/>
      <c r="K10" s="231"/>
      <c r="L10" s="232"/>
      <c r="M10" s="233">
        <f t="shared" si="2"/>
        <v>0</v>
      </c>
      <c r="N10" s="302"/>
      <c r="O10" s="302"/>
      <c r="P10" s="326"/>
      <c r="Q10" s="326"/>
      <c r="R10" s="303"/>
      <c r="S10" s="304"/>
      <c r="T10" s="308"/>
      <c r="U10" s="234">
        <f t="shared" si="3"/>
        <v>0</v>
      </c>
      <c r="V10" s="235">
        <f t="shared" si="4"/>
        <v>0</v>
      </c>
      <c r="W10" s="309"/>
      <c r="X10" s="234">
        <f t="shared" si="5"/>
        <v>0</v>
      </c>
      <c r="Y10" s="236">
        <f t="shared" si="6"/>
        <v>0</v>
      </c>
      <c r="Z10" s="310"/>
      <c r="AA10" s="234">
        <f t="shared" si="7"/>
        <v>0</v>
      </c>
      <c r="AB10" s="237">
        <f t="shared" si="8"/>
        <v>0</v>
      </c>
      <c r="AC10" s="311"/>
      <c r="AD10" s="234">
        <f t="shared" si="9"/>
        <v>0</v>
      </c>
      <c r="AE10" s="238">
        <f t="shared" si="10"/>
        <v>0</v>
      </c>
      <c r="AF10" s="239">
        <f t="shared" si="11"/>
        <v>0</v>
      </c>
      <c r="AG10" s="231"/>
      <c r="AH10" s="231"/>
      <c r="AI10" s="240"/>
      <c r="AJ10" s="241" t="str">
        <f t="shared" si="12"/>
        <v>Hayır</v>
      </c>
      <c r="AK10" s="318"/>
      <c r="AL10" s="314"/>
      <c r="AM10" s="315"/>
      <c r="AN10" s="316"/>
      <c r="AO10" s="317"/>
      <c r="AP10" s="317"/>
      <c r="AQ10" s="329"/>
      <c r="AR10" s="330"/>
      <c r="AS10" s="320"/>
      <c r="AT10" s="321"/>
      <c r="AU10" s="320"/>
      <c r="AV10" s="320"/>
      <c r="AW10" s="130"/>
      <c r="AX10" s="130"/>
      <c r="AY10" s="242"/>
      <c r="AZ10" s="220"/>
      <c r="BA10" s="38">
        <f>ROUND(IF(AX10="Evet",100*Katsayılar!$I$28,0),2)</f>
        <v>0</v>
      </c>
      <c r="BB10" s="38">
        <f t="shared" si="13"/>
        <v>0</v>
      </c>
      <c r="BC10" s="323"/>
      <c r="BD10" s="246"/>
    </row>
    <row r="11" spans="2:55" ht="22.5" customHeight="1">
      <c r="B11" s="226">
        <f t="shared" si="1"/>
        <v>0</v>
      </c>
      <c r="C11" s="243" t="str">
        <f t="shared" si="0"/>
        <v> </v>
      </c>
      <c r="D11" s="300"/>
      <c r="E11" s="300"/>
      <c r="F11" s="228"/>
      <c r="G11" s="229"/>
      <c r="H11" s="228"/>
      <c r="I11" s="230"/>
      <c r="J11" s="228"/>
      <c r="K11" s="231"/>
      <c r="L11" s="232"/>
      <c r="M11" s="233">
        <f t="shared" si="2"/>
        <v>0</v>
      </c>
      <c r="N11" s="302"/>
      <c r="O11" s="302"/>
      <c r="P11" s="326"/>
      <c r="Q11" s="326"/>
      <c r="R11" s="303"/>
      <c r="S11" s="304"/>
      <c r="T11" s="308"/>
      <c r="U11" s="234">
        <f t="shared" si="3"/>
        <v>0</v>
      </c>
      <c r="V11" s="235">
        <f t="shared" si="4"/>
        <v>0</v>
      </c>
      <c r="W11" s="309"/>
      <c r="X11" s="234">
        <f t="shared" si="5"/>
        <v>0</v>
      </c>
      <c r="Y11" s="236">
        <f t="shared" si="6"/>
        <v>0</v>
      </c>
      <c r="Z11" s="310"/>
      <c r="AA11" s="234">
        <f t="shared" si="7"/>
        <v>0</v>
      </c>
      <c r="AB11" s="237">
        <f t="shared" si="8"/>
        <v>0</v>
      </c>
      <c r="AC11" s="311"/>
      <c r="AD11" s="234">
        <f t="shared" si="9"/>
        <v>0</v>
      </c>
      <c r="AE11" s="238">
        <f t="shared" si="10"/>
        <v>0</v>
      </c>
      <c r="AF11" s="239">
        <f t="shared" si="11"/>
        <v>0</v>
      </c>
      <c r="AG11" s="231"/>
      <c r="AH11" s="231"/>
      <c r="AI11" s="240"/>
      <c r="AJ11" s="247" t="s">
        <v>222</v>
      </c>
      <c r="AK11" s="313"/>
      <c r="AL11" s="314"/>
      <c r="AM11" s="315"/>
      <c r="AN11" s="316"/>
      <c r="AO11" s="317"/>
      <c r="AP11" s="317"/>
      <c r="AQ11" s="329"/>
      <c r="AR11" s="330"/>
      <c r="AS11" s="320"/>
      <c r="AT11" s="321"/>
      <c r="AU11" s="320"/>
      <c r="AV11" s="320"/>
      <c r="AW11" s="130"/>
      <c r="AX11" s="130"/>
      <c r="AY11" s="242"/>
      <c r="AZ11" s="220"/>
      <c r="BA11" s="38">
        <f>ROUND(IF(AX11="Evet",100*Katsayılar!$I$28,0),2)</f>
        <v>0</v>
      </c>
      <c r="BB11" s="38">
        <f t="shared" si="13"/>
        <v>0</v>
      </c>
      <c r="BC11" s="323"/>
    </row>
    <row r="12" spans="1:130" s="129" customFormat="1" ht="15.75">
      <c r="A12" s="61"/>
      <c r="B12" s="226">
        <f t="shared" si="1"/>
        <v>0</v>
      </c>
      <c r="C12" s="227" t="str">
        <f t="shared" si="0"/>
        <v> </v>
      </c>
      <c r="D12" s="300"/>
      <c r="E12" s="300"/>
      <c r="F12" s="228"/>
      <c r="G12" s="229"/>
      <c r="H12" s="228"/>
      <c r="I12" s="230"/>
      <c r="J12" s="228"/>
      <c r="K12" s="231"/>
      <c r="L12" s="232"/>
      <c r="M12" s="233">
        <f t="shared" si="2"/>
        <v>0</v>
      </c>
      <c r="N12" s="302"/>
      <c r="O12" s="302"/>
      <c r="P12" s="326"/>
      <c r="Q12" s="326"/>
      <c r="R12" s="303"/>
      <c r="S12" s="304"/>
      <c r="T12" s="308"/>
      <c r="U12" s="234">
        <f t="shared" si="3"/>
        <v>0</v>
      </c>
      <c r="V12" s="235">
        <f t="shared" si="4"/>
        <v>0</v>
      </c>
      <c r="W12" s="309"/>
      <c r="X12" s="234">
        <f t="shared" si="5"/>
        <v>0</v>
      </c>
      <c r="Y12" s="236">
        <f t="shared" si="6"/>
        <v>0</v>
      </c>
      <c r="Z12" s="310"/>
      <c r="AA12" s="234">
        <f t="shared" si="7"/>
        <v>0</v>
      </c>
      <c r="AB12" s="237">
        <f t="shared" si="8"/>
        <v>0</v>
      </c>
      <c r="AC12" s="311"/>
      <c r="AD12" s="234">
        <f t="shared" si="9"/>
        <v>0</v>
      </c>
      <c r="AE12" s="238">
        <f t="shared" si="10"/>
        <v>0</v>
      </c>
      <c r="AF12" s="239">
        <f t="shared" si="11"/>
        <v>0</v>
      </c>
      <c r="AG12" s="231"/>
      <c r="AH12" s="231"/>
      <c r="AI12" s="240"/>
      <c r="AJ12" s="241" t="str">
        <f t="shared" si="12"/>
        <v>Hayır</v>
      </c>
      <c r="AK12" s="318"/>
      <c r="AL12" s="314"/>
      <c r="AM12" s="315"/>
      <c r="AN12" s="317"/>
      <c r="AO12" s="317"/>
      <c r="AP12" s="317"/>
      <c r="AQ12" s="329"/>
      <c r="AR12" s="330"/>
      <c r="AS12" s="320"/>
      <c r="AT12" s="321"/>
      <c r="AU12" s="320"/>
      <c r="AV12" s="320"/>
      <c r="AW12" s="130"/>
      <c r="AX12" s="130"/>
      <c r="AY12" s="242"/>
      <c r="AZ12" s="220"/>
      <c r="BA12" s="38">
        <f>ROUND(IF(AX12="Evet",100*Katsayılar!$I$28,0),2)</f>
        <v>0</v>
      </c>
      <c r="BB12" s="38">
        <f t="shared" si="13"/>
        <v>0</v>
      </c>
      <c r="BC12" s="323"/>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row>
    <row r="13" spans="2:130" ht="15.75">
      <c r="B13" s="226">
        <f t="shared" si="1"/>
        <v>0</v>
      </c>
      <c r="C13" s="227" t="str">
        <f t="shared" si="0"/>
        <v> </v>
      </c>
      <c r="D13" s="300"/>
      <c r="E13" s="300"/>
      <c r="F13" s="228"/>
      <c r="G13" s="229"/>
      <c r="H13" s="228"/>
      <c r="I13" s="230"/>
      <c r="J13" s="228"/>
      <c r="K13" s="231"/>
      <c r="L13" s="232"/>
      <c r="M13" s="233">
        <f t="shared" si="2"/>
        <v>0</v>
      </c>
      <c r="N13" s="302"/>
      <c r="O13" s="302"/>
      <c r="P13" s="326"/>
      <c r="Q13" s="326"/>
      <c r="R13" s="303"/>
      <c r="S13" s="304"/>
      <c r="T13" s="308"/>
      <c r="U13" s="234">
        <f t="shared" si="3"/>
        <v>0</v>
      </c>
      <c r="V13" s="235">
        <f t="shared" si="4"/>
        <v>0</v>
      </c>
      <c r="W13" s="309"/>
      <c r="X13" s="234">
        <f t="shared" si="5"/>
        <v>0</v>
      </c>
      <c r="Y13" s="236">
        <f t="shared" si="6"/>
        <v>0</v>
      </c>
      <c r="Z13" s="310"/>
      <c r="AA13" s="234">
        <f t="shared" si="7"/>
        <v>0</v>
      </c>
      <c r="AB13" s="237">
        <f t="shared" si="8"/>
        <v>0</v>
      </c>
      <c r="AC13" s="311"/>
      <c r="AD13" s="234">
        <f t="shared" si="9"/>
        <v>0</v>
      </c>
      <c r="AE13" s="238">
        <f t="shared" si="10"/>
        <v>0</v>
      </c>
      <c r="AF13" s="239">
        <f t="shared" si="11"/>
        <v>0</v>
      </c>
      <c r="AG13" s="231"/>
      <c r="AH13" s="231"/>
      <c r="AI13" s="240"/>
      <c r="AJ13" s="241" t="str">
        <f t="shared" si="12"/>
        <v>Hayır</v>
      </c>
      <c r="AK13" s="313"/>
      <c r="AL13" s="314"/>
      <c r="AM13" s="315"/>
      <c r="AN13" s="316"/>
      <c r="AO13" s="317"/>
      <c r="AP13" s="317"/>
      <c r="AQ13" s="329"/>
      <c r="AR13" s="330"/>
      <c r="AS13" s="320"/>
      <c r="AT13" s="321"/>
      <c r="AU13" s="320"/>
      <c r="AV13" s="320"/>
      <c r="AW13" s="130"/>
      <c r="AX13" s="130"/>
      <c r="AY13" s="242"/>
      <c r="AZ13" s="220"/>
      <c r="BA13" s="38">
        <f>ROUND(IF(AX13="Evet",100*Katsayılar!$I$28,0),2)</f>
        <v>0</v>
      </c>
      <c r="BB13" s="38">
        <f t="shared" si="13"/>
        <v>0</v>
      </c>
      <c r="BC13" s="323"/>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row>
    <row r="14" spans="2:130" ht="15.75">
      <c r="B14" s="226">
        <f t="shared" si="1"/>
        <v>0</v>
      </c>
      <c r="C14" s="243" t="str">
        <f t="shared" si="0"/>
        <v> </v>
      </c>
      <c r="D14" s="300"/>
      <c r="E14" s="300"/>
      <c r="F14" s="228"/>
      <c r="G14" s="229"/>
      <c r="H14" s="228"/>
      <c r="I14" s="230"/>
      <c r="J14" s="228"/>
      <c r="K14" s="231"/>
      <c r="L14" s="232"/>
      <c r="M14" s="233">
        <f t="shared" si="2"/>
        <v>0</v>
      </c>
      <c r="N14" s="302"/>
      <c r="O14" s="302"/>
      <c r="P14" s="326"/>
      <c r="Q14" s="326"/>
      <c r="R14" s="303"/>
      <c r="S14" s="304"/>
      <c r="T14" s="308"/>
      <c r="U14" s="234">
        <f t="shared" si="3"/>
        <v>0</v>
      </c>
      <c r="V14" s="235">
        <f t="shared" si="4"/>
        <v>0</v>
      </c>
      <c r="W14" s="309"/>
      <c r="X14" s="234">
        <f t="shared" si="5"/>
        <v>0</v>
      </c>
      <c r="Y14" s="236">
        <f t="shared" si="6"/>
        <v>0</v>
      </c>
      <c r="Z14" s="310"/>
      <c r="AA14" s="234">
        <f t="shared" si="7"/>
        <v>0</v>
      </c>
      <c r="AB14" s="237">
        <f t="shared" si="8"/>
        <v>0</v>
      </c>
      <c r="AC14" s="311"/>
      <c r="AD14" s="234">
        <f t="shared" si="9"/>
        <v>0</v>
      </c>
      <c r="AE14" s="238">
        <f t="shared" si="10"/>
        <v>0</v>
      </c>
      <c r="AF14" s="239">
        <f t="shared" si="11"/>
        <v>0</v>
      </c>
      <c r="AG14" s="231"/>
      <c r="AH14" s="231"/>
      <c r="AI14" s="240"/>
      <c r="AJ14" s="241" t="str">
        <f t="shared" si="12"/>
        <v>Hayır</v>
      </c>
      <c r="AK14" s="313"/>
      <c r="AL14" s="314"/>
      <c r="AM14" s="315"/>
      <c r="AN14" s="316"/>
      <c r="AO14" s="317"/>
      <c r="AP14" s="317"/>
      <c r="AQ14" s="329"/>
      <c r="AR14" s="330"/>
      <c r="AS14" s="320"/>
      <c r="AT14" s="321"/>
      <c r="AU14" s="320"/>
      <c r="AV14" s="320"/>
      <c r="AW14" s="130"/>
      <c r="AX14" s="130"/>
      <c r="AY14" s="242"/>
      <c r="AZ14" s="220"/>
      <c r="BA14" s="38">
        <f>ROUND(IF(AX14="Evet",100*Katsayılar!$I$28,0),2)</f>
        <v>0</v>
      </c>
      <c r="BB14" s="38">
        <f t="shared" si="13"/>
        <v>0</v>
      </c>
      <c r="BC14" s="323"/>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row>
    <row r="15" spans="2:130" ht="15.75">
      <c r="B15" s="226">
        <f t="shared" si="1"/>
        <v>0</v>
      </c>
      <c r="C15" s="227" t="str">
        <f t="shared" si="0"/>
        <v> </v>
      </c>
      <c r="D15" s="300"/>
      <c r="E15" s="300"/>
      <c r="F15" s="228"/>
      <c r="G15" s="229"/>
      <c r="H15" s="228"/>
      <c r="I15" s="230"/>
      <c r="J15" s="228"/>
      <c r="K15" s="231"/>
      <c r="L15" s="232"/>
      <c r="M15" s="233">
        <f t="shared" si="2"/>
        <v>0</v>
      </c>
      <c r="N15" s="302"/>
      <c r="O15" s="302"/>
      <c r="P15" s="326"/>
      <c r="Q15" s="326"/>
      <c r="R15" s="303"/>
      <c r="S15" s="304"/>
      <c r="T15" s="308"/>
      <c r="U15" s="234">
        <f t="shared" si="3"/>
        <v>0</v>
      </c>
      <c r="V15" s="235">
        <f t="shared" si="4"/>
        <v>0</v>
      </c>
      <c r="W15" s="309"/>
      <c r="X15" s="234">
        <f t="shared" si="5"/>
        <v>0</v>
      </c>
      <c r="Y15" s="236">
        <f t="shared" si="6"/>
        <v>0</v>
      </c>
      <c r="Z15" s="310"/>
      <c r="AA15" s="234">
        <f t="shared" si="7"/>
        <v>0</v>
      </c>
      <c r="AB15" s="237">
        <f t="shared" si="8"/>
        <v>0</v>
      </c>
      <c r="AC15" s="311"/>
      <c r="AD15" s="234">
        <f t="shared" si="9"/>
        <v>0</v>
      </c>
      <c r="AE15" s="238">
        <f t="shared" si="10"/>
        <v>0</v>
      </c>
      <c r="AF15" s="239">
        <f t="shared" si="11"/>
        <v>0</v>
      </c>
      <c r="AG15" s="231"/>
      <c r="AH15" s="231"/>
      <c r="AI15" s="240"/>
      <c r="AJ15" s="241" t="str">
        <f t="shared" si="12"/>
        <v>Hayır</v>
      </c>
      <c r="AK15" s="318"/>
      <c r="AL15" s="314"/>
      <c r="AM15" s="315"/>
      <c r="AN15" s="317"/>
      <c r="AO15" s="317"/>
      <c r="AP15" s="317"/>
      <c r="AQ15" s="329"/>
      <c r="AR15" s="330"/>
      <c r="AS15" s="320"/>
      <c r="AT15" s="321"/>
      <c r="AU15" s="320"/>
      <c r="AV15" s="322"/>
      <c r="AW15" s="130"/>
      <c r="AX15" s="130"/>
      <c r="AY15" s="242"/>
      <c r="AZ15" s="220"/>
      <c r="BA15" s="38">
        <f>ROUND(IF(AX15="Evet",100*Katsayılar!$I$28,0),2)</f>
        <v>0</v>
      </c>
      <c r="BB15" s="38">
        <f t="shared" si="13"/>
        <v>0</v>
      </c>
      <c r="BC15" s="323"/>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row>
    <row r="16" spans="2:130" ht="15.75">
      <c r="B16" s="226">
        <f t="shared" si="1"/>
        <v>0</v>
      </c>
      <c r="C16" s="227" t="str">
        <f t="shared" si="0"/>
        <v> </v>
      </c>
      <c r="D16" s="300"/>
      <c r="E16" s="300"/>
      <c r="F16" s="228"/>
      <c r="G16" s="229"/>
      <c r="H16" s="228"/>
      <c r="I16" s="230"/>
      <c r="J16" s="228"/>
      <c r="K16" s="231"/>
      <c r="L16" s="248"/>
      <c r="M16" s="233">
        <f t="shared" si="2"/>
        <v>0</v>
      </c>
      <c r="N16" s="302"/>
      <c r="O16" s="302"/>
      <c r="P16" s="326"/>
      <c r="Q16" s="326"/>
      <c r="R16" s="303"/>
      <c r="S16" s="304"/>
      <c r="T16" s="308"/>
      <c r="U16" s="234">
        <f t="shared" si="3"/>
        <v>0</v>
      </c>
      <c r="V16" s="235">
        <f t="shared" si="4"/>
        <v>0</v>
      </c>
      <c r="W16" s="309"/>
      <c r="X16" s="234">
        <f t="shared" si="5"/>
        <v>0</v>
      </c>
      <c r="Y16" s="236">
        <f t="shared" si="6"/>
        <v>0</v>
      </c>
      <c r="Z16" s="310"/>
      <c r="AA16" s="234">
        <f t="shared" si="7"/>
        <v>0</v>
      </c>
      <c r="AB16" s="237">
        <f t="shared" si="8"/>
        <v>0</v>
      </c>
      <c r="AC16" s="311"/>
      <c r="AD16" s="234">
        <f t="shared" si="9"/>
        <v>0</v>
      </c>
      <c r="AE16" s="238">
        <f t="shared" si="10"/>
        <v>0</v>
      </c>
      <c r="AF16" s="239">
        <f t="shared" si="11"/>
        <v>0</v>
      </c>
      <c r="AG16" s="228"/>
      <c r="AH16" s="249"/>
      <c r="AI16" s="240"/>
      <c r="AJ16" s="241" t="str">
        <f t="shared" si="12"/>
        <v>Hayır</v>
      </c>
      <c r="AK16" s="318"/>
      <c r="AL16" s="314"/>
      <c r="AM16" s="315"/>
      <c r="AN16" s="316"/>
      <c r="AO16" s="317"/>
      <c r="AP16" s="317"/>
      <c r="AQ16" s="329"/>
      <c r="AR16" s="330"/>
      <c r="AS16" s="320"/>
      <c r="AT16" s="321"/>
      <c r="AU16" s="320"/>
      <c r="AV16" s="320"/>
      <c r="AW16" s="130"/>
      <c r="AX16" s="130"/>
      <c r="AY16" s="242"/>
      <c r="AZ16" s="220"/>
      <c r="BA16" s="38">
        <f>ROUND(IF(AX16="Evet",100*Katsayılar!$I$28,0),2)</f>
        <v>0</v>
      </c>
      <c r="BB16" s="38">
        <f t="shared" si="13"/>
        <v>0</v>
      </c>
      <c r="BC16" s="323"/>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row>
    <row r="17" spans="1:130" s="129" customFormat="1" ht="15.75">
      <c r="A17" s="61"/>
      <c r="B17" s="226">
        <f t="shared" si="1"/>
        <v>0</v>
      </c>
      <c r="C17" s="227" t="str">
        <f t="shared" si="0"/>
        <v> </v>
      </c>
      <c r="D17" s="301"/>
      <c r="E17" s="301"/>
      <c r="F17" s="228"/>
      <c r="G17" s="229"/>
      <c r="H17" s="228"/>
      <c r="I17" s="230"/>
      <c r="J17" s="228"/>
      <c r="K17" s="231"/>
      <c r="L17" s="232"/>
      <c r="M17" s="233">
        <f t="shared" si="2"/>
        <v>0</v>
      </c>
      <c r="N17" s="302"/>
      <c r="O17" s="302"/>
      <c r="P17" s="326"/>
      <c r="Q17" s="326"/>
      <c r="R17" s="303"/>
      <c r="S17" s="304"/>
      <c r="T17" s="308"/>
      <c r="U17" s="234">
        <f t="shared" si="3"/>
        <v>0</v>
      </c>
      <c r="V17" s="235">
        <f t="shared" si="4"/>
        <v>0</v>
      </c>
      <c r="W17" s="309"/>
      <c r="X17" s="234">
        <f t="shared" si="5"/>
        <v>0</v>
      </c>
      <c r="Y17" s="236">
        <f t="shared" si="6"/>
        <v>0</v>
      </c>
      <c r="Z17" s="310"/>
      <c r="AA17" s="234">
        <f t="shared" si="7"/>
        <v>0</v>
      </c>
      <c r="AB17" s="237">
        <f t="shared" si="8"/>
        <v>0</v>
      </c>
      <c r="AC17" s="311"/>
      <c r="AD17" s="234">
        <f t="shared" si="9"/>
        <v>0</v>
      </c>
      <c r="AE17" s="238">
        <f t="shared" si="10"/>
        <v>0</v>
      </c>
      <c r="AF17" s="239">
        <f t="shared" si="11"/>
        <v>0</v>
      </c>
      <c r="AG17" s="228"/>
      <c r="AH17" s="250"/>
      <c r="AI17" s="240"/>
      <c r="AJ17" s="241" t="str">
        <f t="shared" si="12"/>
        <v>Hayır</v>
      </c>
      <c r="AK17" s="318"/>
      <c r="AL17" s="314"/>
      <c r="AM17" s="315"/>
      <c r="AN17" s="316"/>
      <c r="AO17" s="317"/>
      <c r="AP17" s="317"/>
      <c r="AQ17" s="329"/>
      <c r="AR17" s="330"/>
      <c r="AS17" s="320"/>
      <c r="AT17" s="321"/>
      <c r="AU17" s="320"/>
      <c r="AV17" s="320"/>
      <c r="AW17" s="130"/>
      <c r="AX17" s="130"/>
      <c r="AY17" s="242"/>
      <c r="AZ17" s="220"/>
      <c r="BA17" s="38">
        <f>ROUND(IF(AX17="Evet",100*Katsayılar!$I$28,0),2)</f>
        <v>0</v>
      </c>
      <c r="BB17" s="38">
        <f t="shared" si="13"/>
        <v>0</v>
      </c>
      <c r="BC17" s="323"/>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row>
    <row r="18" spans="2:130" ht="15.75">
      <c r="B18" s="226">
        <f t="shared" si="1"/>
        <v>0</v>
      </c>
      <c r="C18" s="227" t="str">
        <f t="shared" si="0"/>
        <v> </v>
      </c>
      <c r="D18" s="300"/>
      <c r="E18" s="300"/>
      <c r="F18" s="228"/>
      <c r="G18" s="229"/>
      <c r="H18" s="228"/>
      <c r="I18" s="230"/>
      <c r="J18" s="228"/>
      <c r="K18" s="231"/>
      <c r="L18" s="232"/>
      <c r="M18" s="233">
        <f t="shared" si="2"/>
        <v>0</v>
      </c>
      <c r="N18" s="302"/>
      <c r="O18" s="302"/>
      <c r="P18" s="326"/>
      <c r="Q18" s="326"/>
      <c r="R18" s="303"/>
      <c r="S18" s="304"/>
      <c r="T18" s="308"/>
      <c r="U18" s="234">
        <f t="shared" si="3"/>
        <v>0</v>
      </c>
      <c r="V18" s="235">
        <f t="shared" si="4"/>
        <v>0</v>
      </c>
      <c r="W18" s="309"/>
      <c r="X18" s="234">
        <f t="shared" si="5"/>
        <v>0</v>
      </c>
      <c r="Y18" s="236">
        <f t="shared" si="6"/>
        <v>0</v>
      </c>
      <c r="Z18" s="310"/>
      <c r="AA18" s="234">
        <f t="shared" si="7"/>
        <v>0</v>
      </c>
      <c r="AB18" s="237">
        <f t="shared" si="8"/>
        <v>0</v>
      </c>
      <c r="AC18" s="311"/>
      <c r="AD18" s="234">
        <f t="shared" si="9"/>
        <v>0</v>
      </c>
      <c r="AE18" s="238">
        <f t="shared" si="10"/>
        <v>0</v>
      </c>
      <c r="AF18" s="239">
        <f t="shared" si="11"/>
        <v>0</v>
      </c>
      <c r="AG18" s="228"/>
      <c r="AH18" s="250"/>
      <c r="AI18" s="240"/>
      <c r="AJ18" s="241" t="str">
        <f t="shared" si="12"/>
        <v>Hayır</v>
      </c>
      <c r="AK18" s="318"/>
      <c r="AL18" s="314"/>
      <c r="AM18" s="315"/>
      <c r="AN18" s="317"/>
      <c r="AO18" s="317"/>
      <c r="AP18" s="317"/>
      <c r="AQ18" s="329"/>
      <c r="AR18" s="330"/>
      <c r="AS18" s="320"/>
      <c r="AT18" s="321"/>
      <c r="AU18" s="320"/>
      <c r="AV18" s="320"/>
      <c r="AW18" s="130"/>
      <c r="AX18" s="130"/>
      <c r="AY18" s="242"/>
      <c r="AZ18" s="220"/>
      <c r="BA18" s="38">
        <f>ROUND(IF(AX18="Evet",100*Katsayılar!$I$28,0),2)</f>
        <v>0</v>
      </c>
      <c r="BB18" s="38">
        <f t="shared" si="13"/>
        <v>0</v>
      </c>
      <c r="BC18" s="323"/>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row>
    <row r="19" spans="2:130" ht="15.75">
      <c r="B19" s="226">
        <f t="shared" si="1"/>
        <v>0</v>
      </c>
      <c r="C19" s="243" t="str">
        <f t="shared" si="0"/>
        <v> </v>
      </c>
      <c r="D19" s="300"/>
      <c r="E19" s="300"/>
      <c r="F19" s="228"/>
      <c r="G19" s="229"/>
      <c r="H19" s="228"/>
      <c r="I19" s="230"/>
      <c r="J19" s="228"/>
      <c r="K19" s="231"/>
      <c r="L19" s="232"/>
      <c r="M19" s="233">
        <f t="shared" si="2"/>
        <v>0</v>
      </c>
      <c r="N19" s="302"/>
      <c r="O19" s="302"/>
      <c r="P19" s="326"/>
      <c r="Q19" s="326"/>
      <c r="R19" s="303"/>
      <c r="S19" s="304"/>
      <c r="T19" s="308"/>
      <c r="U19" s="234">
        <f t="shared" si="3"/>
        <v>0</v>
      </c>
      <c r="V19" s="235">
        <f t="shared" si="4"/>
        <v>0</v>
      </c>
      <c r="W19" s="309"/>
      <c r="X19" s="234">
        <f t="shared" si="5"/>
        <v>0</v>
      </c>
      <c r="Y19" s="236">
        <f t="shared" si="6"/>
        <v>0</v>
      </c>
      <c r="Z19" s="310"/>
      <c r="AA19" s="234">
        <f t="shared" si="7"/>
        <v>0</v>
      </c>
      <c r="AB19" s="237">
        <f t="shared" si="8"/>
        <v>0</v>
      </c>
      <c r="AC19" s="311"/>
      <c r="AD19" s="234">
        <f t="shared" si="9"/>
        <v>0</v>
      </c>
      <c r="AE19" s="238">
        <f t="shared" si="10"/>
        <v>0</v>
      </c>
      <c r="AF19" s="239">
        <f t="shared" si="11"/>
        <v>0</v>
      </c>
      <c r="AG19" s="228"/>
      <c r="AH19" s="250"/>
      <c r="AI19" s="240"/>
      <c r="AJ19" s="241" t="str">
        <f t="shared" si="12"/>
        <v>Hayır</v>
      </c>
      <c r="AK19" s="313"/>
      <c r="AL19" s="314"/>
      <c r="AM19" s="315"/>
      <c r="AN19" s="316"/>
      <c r="AO19" s="317"/>
      <c r="AP19" s="317"/>
      <c r="AQ19" s="329"/>
      <c r="AR19" s="330"/>
      <c r="AS19" s="320"/>
      <c r="AT19" s="321"/>
      <c r="AU19" s="320"/>
      <c r="AV19" s="320"/>
      <c r="AW19" s="130"/>
      <c r="AX19" s="130"/>
      <c r="AY19" s="242"/>
      <c r="AZ19" s="220"/>
      <c r="BA19" s="38">
        <f>ROUND(IF(AX19="Evet",100*Katsayılar!$I$28,0),2)</f>
        <v>0</v>
      </c>
      <c r="BB19" s="38">
        <f t="shared" si="13"/>
        <v>0</v>
      </c>
      <c r="BC19" s="323"/>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row>
    <row r="20" spans="2:130" ht="15.75">
      <c r="B20" s="226">
        <f t="shared" si="1"/>
        <v>0</v>
      </c>
      <c r="C20" s="227" t="str">
        <f t="shared" si="0"/>
        <v> </v>
      </c>
      <c r="D20" s="327"/>
      <c r="E20" s="327"/>
      <c r="F20" s="228"/>
      <c r="G20" s="229"/>
      <c r="H20" s="228"/>
      <c r="I20" s="251"/>
      <c r="J20" s="228"/>
      <c r="K20" s="231"/>
      <c r="L20" s="232"/>
      <c r="M20" s="233">
        <f t="shared" si="2"/>
        <v>0</v>
      </c>
      <c r="N20" s="302"/>
      <c r="O20" s="302"/>
      <c r="P20" s="326"/>
      <c r="Q20" s="326"/>
      <c r="R20" s="336"/>
      <c r="S20" s="304"/>
      <c r="T20" s="308"/>
      <c r="U20" s="234">
        <f aca="true" t="shared" si="14" ref="U20:U50">IF(T20="",0,($D$1-T20)/365*12)</f>
        <v>0</v>
      </c>
      <c r="V20" s="235">
        <f aca="true" t="shared" si="15" ref="V20:V50">IF(U20=0,0,IF(U20&lt;=72,(297*2),297))</f>
        <v>0</v>
      </c>
      <c r="W20" s="309"/>
      <c r="X20" s="234">
        <f aca="true" t="shared" si="16" ref="X20:X50">IF(W20="",0,($D$1-W20)/365*12)</f>
        <v>0</v>
      </c>
      <c r="Y20" s="236">
        <f aca="true" t="shared" si="17" ref="Y20:Y50">IF(X20=0,0,IF(X20&lt;=72,(297*2),297))</f>
        <v>0</v>
      </c>
      <c r="Z20" s="310"/>
      <c r="AA20" s="234">
        <f aca="true" t="shared" si="18" ref="AA20:AA50">IF(Z20="",0,($D$1-Z20)/365*12)</f>
        <v>0</v>
      </c>
      <c r="AB20" s="237">
        <f aca="true" t="shared" si="19" ref="AB20:AB50">IF(AA20=0,0,IF(AA20&lt;=72,(297*2),297))</f>
        <v>0</v>
      </c>
      <c r="AC20" s="311"/>
      <c r="AD20" s="234">
        <f aca="true" t="shared" si="20" ref="AD20:AD50">IF(AC20="",0,($D$1-AC20)/365*12)</f>
        <v>0</v>
      </c>
      <c r="AE20" s="238">
        <f aca="true" t="shared" si="21" ref="AE20:AE50">IF(AD20=0,0,IF(AD20&lt;=72,(297*2),297))</f>
        <v>0</v>
      </c>
      <c r="AF20" s="239">
        <f t="shared" si="11"/>
        <v>0</v>
      </c>
      <c r="AG20" s="228"/>
      <c r="AH20" s="250"/>
      <c r="AI20" s="242"/>
      <c r="AJ20" s="241" t="str">
        <f aca="true" t="shared" si="22" ref="AJ20:AJ50">IF(AL20="","Hayır","EVET")</f>
        <v>Hayır</v>
      </c>
      <c r="AK20" s="318"/>
      <c r="AL20" s="314"/>
      <c r="AM20" s="315"/>
      <c r="AN20" s="317"/>
      <c r="AO20" s="317"/>
      <c r="AP20" s="317"/>
      <c r="AQ20" s="329"/>
      <c r="AR20" s="330"/>
      <c r="AS20" s="320"/>
      <c r="AT20" s="321"/>
      <c r="AU20" s="320"/>
      <c r="AV20" s="320"/>
      <c r="AW20" s="130"/>
      <c r="AX20" s="130"/>
      <c r="AY20" s="242"/>
      <c r="AZ20" s="220"/>
      <c r="BA20" s="38">
        <f>ROUND(IF(AX20="Evet",100*Katsayılar!$I$28,0),2)</f>
        <v>0</v>
      </c>
      <c r="BB20" s="38">
        <f t="shared" si="13"/>
        <v>0</v>
      </c>
      <c r="BC20" s="334"/>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row>
    <row r="21" spans="2:130" ht="15.75">
      <c r="B21" s="226">
        <f t="shared" si="1"/>
        <v>0</v>
      </c>
      <c r="C21" s="227" t="str">
        <f t="shared" si="0"/>
        <v> </v>
      </c>
      <c r="D21" s="327"/>
      <c r="E21" s="327"/>
      <c r="F21" s="228"/>
      <c r="G21" s="229"/>
      <c r="H21" s="228"/>
      <c r="I21" s="251"/>
      <c r="J21" s="228"/>
      <c r="K21" s="231"/>
      <c r="L21" s="232"/>
      <c r="M21" s="233">
        <f t="shared" si="2"/>
        <v>0</v>
      </c>
      <c r="N21" s="302"/>
      <c r="O21" s="302"/>
      <c r="P21" s="326"/>
      <c r="Q21" s="326"/>
      <c r="R21" s="303"/>
      <c r="S21" s="304"/>
      <c r="T21" s="308"/>
      <c r="U21" s="234">
        <f t="shared" si="14"/>
        <v>0</v>
      </c>
      <c r="V21" s="235">
        <f t="shared" si="15"/>
        <v>0</v>
      </c>
      <c r="W21" s="309"/>
      <c r="X21" s="234">
        <f t="shared" si="16"/>
        <v>0</v>
      </c>
      <c r="Y21" s="236">
        <f t="shared" si="17"/>
        <v>0</v>
      </c>
      <c r="Z21" s="310"/>
      <c r="AA21" s="234">
        <f t="shared" si="18"/>
        <v>0</v>
      </c>
      <c r="AB21" s="237">
        <f t="shared" si="19"/>
        <v>0</v>
      </c>
      <c r="AC21" s="311"/>
      <c r="AD21" s="234">
        <f t="shared" si="20"/>
        <v>0</v>
      </c>
      <c r="AE21" s="238">
        <f t="shared" si="21"/>
        <v>0</v>
      </c>
      <c r="AF21" s="239">
        <f t="shared" si="11"/>
        <v>0</v>
      </c>
      <c r="AG21" s="228"/>
      <c r="AH21" s="250"/>
      <c r="AI21" s="242"/>
      <c r="AJ21" s="241" t="str">
        <f t="shared" si="22"/>
        <v>Hayır</v>
      </c>
      <c r="AK21" s="313"/>
      <c r="AL21" s="314"/>
      <c r="AM21" s="315"/>
      <c r="AN21" s="316"/>
      <c r="AO21" s="317"/>
      <c r="AP21" s="317"/>
      <c r="AQ21" s="329"/>
      <c r="AR21" s="330"/>
      <c r="AS21" s="320"/>
      <c r="AT21" s="321"/>
      <c r="AU21" s="320"/>
      <c r="AV21" s="320"/>
      <c r="AW21" s="130"/>
      <c r="AX21" s="130"/>
      <c r="AY21" s="242"/>
      <c r="AZ21" s="220"/>
      <c r="BA21" s="38">
        <f>ROUND(IF(AX21="Evet",100*Katsayılar!$I$28,0),2)</f>
        <v>0</v>
      </c>
      <c r="BB21" s="38">
        <f t="shared" si="13"/>
        <v>0</v>
      </c>
      <c r="BC21" s="334"/>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c r="CW21" s="246"/>
      <c r="CX21" s="246"/>
      <c r="CY21" s="246"/>
      <c r="CZ21" s="246"/>
      <c r="DA21" s="246"/>
      <c r="DB21" s="246"/>
      <c r="DC21" s="246"/>
      <c r="DD21" s="246"/>
      <c r="DE21" s="246"/>
      <c r="DF21" s="246"/>
      <c r="DG21" s="246"/>
      <c r="DH21" s="246"/>
      <c r="DI21" s="246"/>
      <c r="DJ21" s="246"/>
      <c r="DK21" s="246"/>
      <c r="DL21" s="246"/>
      <c r="DM21" s="246"/>
      <c r="DN21" s="246"/>
      <c r="DO21" s="246"/>
      <c r="DP21" s="246"/>
      <c r="DQ21" s="246"/>
      <c r="DR21" s="246"/>
      <c r="DS21" s="246"/>
      <c r="DT21" s="246"/>
      <c r="DU21" s="246"/>
      <c r="DV21" s="246"/>
      <c r="DW21" s="246"/>
      <c r="DX21" s="246"/>
      <c r="DY21" s="246"/>
      <c r="DZ21" s="246"/>
    </row>
    <row r="22" spans="2:130" ht="15.75">
      <c r="B22" s="226">
        <f t="shared" si="1"/>
        <v>0</v>
      </c>
      <c r="C22" s="227" t="str">
        <f t="shared" si="0"/>
        <v> </v>
      </c>
      <c r="D22" s="327"/>
      <c r="E22" s="327"/>
      <c r="F22" s="228"/>
      <c r="G22" s="229"/>
      <c r="H22" s="228"/>
      <c r="I22" s="251"/>
      <c r="J22" s="228"/>
      <c r="K22" s="231"/>
      <c r="L22" s="232"/>
      <c r="M22" s="233">
        <f t="shared" si="2"/>
        <v>0</v>
      </c>
      <c r="N22" s="302"/>
      <c r="O22" s="302"/>
      <c r="P22" s="326"/>
      <c r="Q22" s="326"/>
      <c r="R22" s="303"/>
      <c r="S22" s="304"/>
      <c r="T22" s="308"/>
      <c r="U22" s="234">
        <f t="shared" si="14"/>
        <v>0</v>
      </c>
      <c r="V22" s="235">
        <f t="shared" si="15"/>
        <v>0</v>
      </c>
      <c r="W22" s="309"/>
      <c r="X22" s="234">
        <f t="shared" si="16"/>
        <v>0</v>
      </c>
      <c r="Y22" s="236">
        <f t="shared" si="17"/>
        <v>0</v>
      </c>
      <c r="Z22" s="310"/>
      <c r="AA22" s="234">
        <f t="shared" si="18"/>
        <v>0</v>
      </c>
      <c r="AB22" s="237">
        <f t="shared" si="19"/>
        <v>0</v>
      </c>
      <c r="AC22" s="311"/>
      <c r="AD22" s="234">
        <f t="shared" si="20"/>
        <v>0</v>
      </c>
      <c r="AE22" s="238">
        <f t="shared" si="21"/>
        <v>0</v>
      </c>
      <c r="AF22" s="239">
        <f t="shared" si="11"/>
        <v>0</v>
      </c>
      <c r="AG22" s="228"/>
      <c r="AH22" s="250"/>
      <c r="AI22" s="242"/>
      <c r="AJ22" s="241" t="str">
        <f t="shared" si="22"/>
        <v>Hayır</v>
      </c>
      <c r="AK22" s="318"/>
      <c r="AL22" s="314"/>
      <c r="AM22" s="315"/>
      <c r="AN22" s="316"/>
      <c r="AO22" s="317"/>
      <c r="AP22" s="317"/>
      <c r="AQ22" s="329"/>
      <c r="AR22" s="330"/>
      <c r="AS22" s="320"/>
      <c r="AT22" s="321"/>
      <c r="AU22" s="320"/>
      <c r="AV22" s="320"/>
      <c r="AW22" s="130"/>
      <c r="AX22" s="130"/>
      <c r="AY22" s="242"/>
      <c r="AZ22" s="220"/>
      <c r="BA22" s="38">
        <f>ROUND(IF(AX22="Evet",100*Katsayılar!$I$28,0),2)</f>
        <v>0</v>
      </c>
      <c r="BB22" s="38">
        <f t="shared" si="13"/>
        <v>0</v>
      </c>
      <c r="BC22" s="334"/>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6"/>
      <c r="DV22" s="246"/>
      <c r="DW22" s="246"/>
      <c r="DX22" s="246"/>
      <c r="DY22" s="246"/>
      <c r="DZ22" s="246"/>
    </row>
    <row r="23" spans="2:130" ht="15.75">
      <c r="B23" s="226">
        <f t="shared" si="1"/>
        <v>0</v>
      </c>
      <c r="C23" s="227" t="str">
        <f t="shared" si="0"/>
        <v> </v>
      </c>
      <c r="D23" s="327"/>
      <c r="E23" s="327"/>
      <c r="F23" s="228"/>
      <c r="G23" s="229"/>
      <c r="H23" s="228"/>
      <c r="I23" s="251"/>
      <c r="J23" s="228"/>
      <c r="K23" s="231"/>
      <c r="L23" s="232"/>
      <c r="M23" s="233">
        <f t="shared" si="2"/>
        <v>0</v>
      </c>
      <c r="N23" s="302"/>
      <c r="O23" s="302"/>
      <c r="P23" s="326"/>
      <c r="Q23" s="326"/>
      <c r="R23" s="303"/>
      <c r="S23" s="304"/>
      <c r="T23" s="308"/>
      <c r="U23" s="234">
        <f t="shared" si="14"/>
        <v>0</v>
      </c>
      <c r="V23" s="235">
        <f t="shared" si="15"/>
        <v>0</v>
      </c>
      <c r="W23" s="309"/>
      <c r="X23" s="234">
        <f t="shared" si="16"/>
        <v>0</v>
      </c>
      <c r="Y23" s="236">
        <f t="shared" si="17"/>
        <v>0</v>
      </c>
      <c r="Z23" s="310"/>
      <c r="AA23" s="234">
        <f t="shared" si="18"/>
        <v>0</v>
      </c>
      <c r="AB23" s="237">
        <f t="shared" si="19"/>
        <v>0</v>
      </c>
      <c r="AC23" s="311"/>
      <c r="AD23" s="234">
        <f t="shared" si="20"/>
        <v>0</v>
      </c>
      <c r="AE23" s="238">
        <f t="shared" si="21"/>
        <v>0</v>
      </c>
      <c r="AF23" s="239">
        <f t="shared" si="11"/>
        <v>0</v>
      </c>
      <c r="AG23" s="228"/>
      <c r="AH23" s="250"/>
      <c r="AI23" s="242"/>
      <c r="AJ23" s="241" t="str">
        <f t="shared" si="22"/>
        <v>Hayır</v>
      </c>
      <c r="AK23" s="313"/>
      <c r="AL23" s="314"/>
      <c r="AM23" s="315"/>
      <c r="AN23" s="316"/>
      <c r="AO23" s="317"/>
      <c r="AP23" s="317"/>
      <c r="AQ23" s="329"/>
      <c r="AR23" s="330"/>
      <c r="AS23" s="320"/>
      <c r="AT23" s="321"/>
      <c r="AU23" s="320"/>
      <c r="AV23" s="320"/>
      <c r="AW23" s="130"/>
      <c r="AX23" s="130"/>
      <c r="AY23" s="242"/>
      <c r="AZ23" s="220"/>
      <c r="BA23" s="38">
        <f>ROUND(IF(AX23="Evet",100*Katsayılar!$I$28,0),2)</f>
        <v>0</v>
      </c>
      <c r="BB23" s="38">
        <f t="shared" si="13"/>
        <v>0</v>
      </c>
      <c r="BC23" s="334"/>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6"/>
      <c r="CZ23" s="246"/>
      <c r="DA23" s="246"/>
      <c r="DB23" s="246"/>
      <c r="DC23" s="246"/>
      <c r="DD23" s="246"/>
      <c r="DE23" s="246"/>
      <c r="DF23" s="246"/>
      <c r="DG23" s="246"/>
      <c r="DH23" s="246"/>
      <c r="DI23" s="246"/>
      <c r="DJ23" s="246"/>
      <c r="DK23" s="246"/>
      <c r="DL23" s="246"/>
      <c r="DM23" s="246"/>
      <c r="DN23" s="246"/>
      <c r="DO23" s="246"/>
      <c r="DP23" s="246"/>
      <c r="DQ23" s="246"/>
      <c r="DR23" s="246"/>
      <c r="DS23" s="246"/>
      <c r="DT23" s="246"/>
      <c r="DU23" s="246"/>
      <c r="DV23" s="246"/>
      <c r="DW23" s="246"/>
      <c r="DX23" s="246"/>
      <c r="DY23" s="246"/>
      <c r="DZ23" s="246"/>
    </row>
    <row r="24" spans="2:130" ht="16.5">
      <c r="B24" s="226">
        <f t="shared" si="1"/>
        <v>0</v>
      </c>
      <c r="C24" s="227" t="str">
        <f t="shared" si="0"/>
        <v> </v>
      </c>
      <c r="D24" s="328"/>
      <c r="E24" s="328"/>
      <c r="F24" s="228"/>
      <c r="G24" s="229"/>
      <c r="H24" s="228"/>
      <c r="I24" s="251"/>
      <c r="J24" s="228"/>
      <c r="K24" s="231"/>
      <c r="L24" s="232"/>
      <c r="M24" s="233">
        <f t="shared" si="2"/>
        <v>0</v>
      </c>
      <c r="N24" s="302"/>
      <c r="O24" s="302"/>
      <c r="P24" s="326"/>
      <c r="Q24" s="326"/>
      <c r="R24" s="303"/>
      <c r="S24" s="304"/>
      <c r="T24" s="308"/>
      <c r="U24" s="234">
        <f t="shared" si="14"/>
        <v>0</v>
      </c>
      <c r="V24" s="235">
        <f t="shared" si="15"/>
        <v>0</v>
      </c>
      <c r="W24" s="309"/>
      <c r="X24" s="234">
        <f t="shared" si="16"/>
        <v>0</v>
      </c>
      <c r="Y24" s="236">
        <f t="shared" si="17"/>
        <v>0</v>
      </c>
      <c r="Z24" s="310"/>
      <c r="AA24" s="234">
        <f t="shared" si="18"/>
        <v>0</v>
      </c>
      <c r="AB24" s="237">
        <f t="shared" si="19"/>
        <v>0</v>
      </c>
      <c r="AC24" s="311"/>
      <c r="AD24" s="234">
        <f t="shared" si="20"/>
        <v>0</v>
      </c>
      <c r="AE24" s="238">
        <f t="shared" si="21"/>
        <v>0</v>
      </c>
      <c r="AF24" s="239">
        <f t="shared" si="11"/>
        <v>0</v>
      </c>
      <c r="AG24" s="228"/>
      <c r="AH24" s="250"/>
      <c r="AI24" s="242"/>
      <c r="AJ24" s="241" t="str">
        <f t="shared" si="22"/>
        <v>Hayır</v>
      </c>
      <c r="AK24" s="318"/>
      <c r="AL24" s="314"/>
      <c r="AM24" s="315"/>
      <c r="AN24" s="316"/>
      <c r="AO24" s="317"/>
      <c r="AP24" s="317"/>
      <c r="AQ24" s="329"/>
      <c r="AR24" s="330"/>
      <c r="AS24" s="320"/>
      <c r="AT24" s="321"/>
      <c r="AU24" s="320"/>
      <c r="AV24" s="320"/>
      <c r="AW24" s="130"/>
      <c r="AX24" s="130"/>
      <c r="AY24" s="242"/>
      <c r="AZ24" s="220"/>
      <c r="BA24" s="38">
        <f>ROUND(IF(AX24="Evet",100*Katsayılar!$I$28,0),2)</f>
        <v>0</v>
      </c>
      <c r="BB24" s="38">
        <f t="shared" si="13"/>
        <v>0</v>
      </c>
      <c r="BC24" s="334"/>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6"/>
      <c r="DV24" s="246"/>
      <c r="DW24" s="246"/>
      <c r="DX24" s="246"/>
      <c r="DY24" s="246"/>
      <c r="DZ24" s="246"/>
    </row>
    <row r="25" spans="2:130" ht="16.5">
      <c r="B25" s="226">
        <f t="shared" si="1"/>
        <v>0</v>
      </c>
      <c r="C25" s="227" t="str">
        <f t="shared" si="0"/>
        <v> </v>
      </c>
      <c r="D25" s="328"/>
      <c r="E25" s="328"/>
      <c r="F25" s="228"/>
      <c r="G25" s="229"/>
      <c r="H25" s="228"/>
      <c r="I25" s="251"/>
      <c r="J25" s="228"/>
      <c r="K25" s="231"/>
      <c r="L25" s="232"/>
      <c r="M25" s="233">
        <f t="shared" si="2"/>
        <v>0</v>
      </c>
      <c r="N25" s="302"/>
      <c r="O25" s="302"/>
      <c r="P25" s="326"/>
      <c r="Q25" s="326"/>
      <c r="R25" s="303"/>
      <c r="S25" s="304"/>
      <c r="T25" s="308"/>
      <c r="U25" s="234">
        <f t="shared" si="14"/>
        <v>0</v>
      </c>
      <c r="V25" s="235">
        <f t="shared" si="15"/>
        <v>0</v>
      </c>
      <c r="W25" s="309"/>
      <c r="X25" s="234">
        <f t="shared" si="16"/>
        <v>0</v>
      </c>
      <c r="Y25" s="236">
        <f t="shared" si="17"/>
        <v>0</v>
      </c>
      <c r="Z25" s="310"/>
      <c r="AA25" s="234">
        <f t="shared" si="18"/>
        <v>0</v>
      </c>
      <c r="AB25" s="237">
        <f t="shared" si="19"/>
        <v>0</v>
      </c>
      <c r="AC25" s="311"/>
      <c r="AD25" s="234">
        <f t="shared" si="20"/>
        <v>0</v>
      </c>
      <c r="AE25" s="238">
        <f t="shared" si="21"/>
        <v>0</v>
      </c>
      <c r="AF25" s="239">
        <f t="shared" si="11"/>
        <v>0</v>
      </c>
      <c r="AG25" s="228"/>
      <c r="AH25" s="250"/>
      <c r="AI25" s="242"/>
      <c r="AJ25" s="241" t="str">
        <f t="shared" si="22"/>
        <v>Hayır</v>
      </c>
      <c r="AK25" s="313"/>
      <c r="AL25" s="314"/>
      <c r="AM25" s="315"/>
      <c r="AN25" s="316"/>
      <c r="AO25" s="317"/>
      <c r="AP25" s="317"/>
      <c r="AQ25" s="329"/>
      <c r="AR25" s="330"/>
      <c r="AS25" s="320"/>
      <c r="AT25" s="321"/>
      <c r="AU25" s="320"/>
      <c r="AV25" s="320"/>
      <c r="AW25" s="130"/>
      <c r="AX25" s="130"/>
      <c r="AY25" s="242"/>
      <c r="AZ25" s="220"/>
      <c r="BA25" s="38">
        <f>ROUND(IF(AX25="Evet",100*Katsayılar!$I$28,0),2)</f>
        <v>0</v>
      </c>
      <c r="BB25" s="38">
        <f t="shared" si="13"/>
        <v>0</v>
      </c>
      <c r="BC25" s="334"/>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6"/>
      <c r="CO25" s="246"/>
      <c r="CP25" s="246"/>
      <c r="CQ25" s="246"/>
      <c r="CR25" s="246"/>
      <c r="CS25" s="246"/>
      <c r="CT25" s="246"/>
      <c r="CU25" s="246"/>
      <c r="CV25" s="246"/>
      <c r="CW25" s="246"/>
      <c r="CX25" s="246"/>
      <c r="CY25" s="246"/>
      <c r="CZ25" s="246"/>
      <c r="DA25" s="246"/>
      <c r="DB25" s="246"/>
      <c r="DC25" s="246"/>
      <c r="DD25" s="246"/>
      <c r="DE25" s="246"/>
      <c r="DF25" s="246"/>
      <c r="DG25" s="246"/>
      <c r="DH25" s="246"/>
      <c r="DI25" s="246"/>
      <c r="DJ25" s="246"/>
      <c r="DK25" s="246"/>
      <c r="DL25" s="246"/>
      <c r="DM25" s="246"/>
      <c r="DN25" s="246"/>
      <c r="DO25" s="246"/>
      <c r="DP25" s="246"/>
      <c r="DQ25" s="246"/>
      <c r="DR25" s="246"/>
      <c r="DS25" s="246"/>
      <c r="DT25" s="246"/>
      <c r="DU25" s="246"/>
      <c r="DV25" s="246"/>
      <c r="DW25" s="246"/>
      <c r="DX25" s="246"/>
      <c r="DY25" s="246"/>
      <c r="DZ25" s="246"/>
    </row>
    <row r="26" spans="2:130" ht="16.5">
      <c r="B26" s="226">
        <f t="shared" si="1"/>
        <v>0</v>
      </c>
      <c r="C26" s="243" t="str">
        <f t="shared" si="0"/>
        <v> </v>
      </c>
      <c r="D26" s="328"/>
      <c r="E26" s="328"/>
      <c r="F26" s="228"/>
      <c r="G26" s="229"/>
      <c r="H26" s="228"/>
      <c r="I26" s="251"/>
      <c r="J26" s="228"/>
      <c r="K26" s="231"/>
      <c r="L26" s="232"/>
      <c r="M26" s="233">
        <f t="shared" si="2"/>
        <v>0</v>
      </c>
      <c r="N26" s="302"/>
      <c r="O26" s="302"/>
      <c r="P26" s="326"/>
      <c r="Q26" s="326"/>
      <c r="R26" s="336"/>
      <c r="S26" s="335"/>
      <c r="T26" s="308"/>
      <c r="U26" s="234">
        <f t="shared" si="14"/>
        <v>0</v>
      </c>
      <c r="V26" s="235">
        <f t="shared" si="15"/>
        <v>0</v>
      </c>
      <c r="W26" s="309"/>
      <c r="X26" s="234">
        <f t="shared" si="16"/>
        <v>0</v>
      </c>
      <c r="Y26" s="236">
        <f t="shared" si="17"/>
        <v>0</v>
      </c>
      <c r="Z26" s="310"/>
      <c r="AA26" s="234">
        <f t="shared" si="18"/>
        <v>0</v>
      </c>
      <c r="AB26" s="237">
        <f t="shared" si="19"/>
        <v>0</v>
      </c>
      <c r="AC26" s="311"/>
      <c r="AD26" s="234">
        <f t="shared" si="20"/>
        <v>0</v>
      </c>
      <c r="AE26" s="238">
        <f t="shared" si="21"/>
        <v>0</v>
      </c>
      <c r="AF26" s="239">
        <f t="shared" si="11"/>
        <v>0</v>
      </c>
      <c r="AG26" s="228"/>
      <c r="AH26" s="250"/>
      <c r="AI26" s="242"/>
      <c r="AJ26" s="241" t="str">
        <f t="shared" si="22"/>
        <v>Hayır</v>
      </c>
      <c r="AK26" s="313"/>
      <c r="AL26" s="314"/>
      <c r="AM26" s="315"/>
      <c r="AN26" s="316"/>
      <c r="AO26" s="317"/>
      <c r="AP26" s="317"/>
      <c r="AQ26" s="329"/>
      <c r="AR26" s="330"/>
      <c r="AS26" s="320"/>
      <c r="AT26" s="321"/>
      <c r="AU26" s="320"/>
      <c r="AV26" s="320"/>
      <c r="AW26" s="130"/>
      <c r="AX26" s="334"/>
      <c r="AY26" s="244"/>
      <c r="AZ26" s="245"/>
      <c r="BA26" s="38">
        <f>ROUND(IF(AX26="Evet",100*Katsayılar!$I$28,0),2)</f>
        <v>0</v>
      </c>
      <c r="BB26" s="38">
        <f t="shared" si="13"/>
        <v>0</v>
      </c>
      <c r="BC26" s="334"/>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6"/>
      <c r="CV26" s="246"/>
      <c r="CW26" s="246"/>
      <c r="CX26" s="246"/>
      <c r="CY26" s="246"/>
      <c r="CZ26" s="246"/>
      <c r="DA26" s="246"/>
      <c r="DB26" s="246"/>
      <c r="DC26" s="246"/>
      <c r="DD26" s="246"/>
      <c r="DE26" s="246"/>
      <c r="DF26" s="246"/>
      <c r="DG26" s="246"/>
      <c r="DH26" s="246"/>
      <c r="DI26" s="246"/>
      <c r="DJ26" s="246"/>
      <c r="DK26" s="246"/>
      <c r="DL26" s="246"/>
      <c r="DM26" s="246"/>
      <c r="DN26" s="246"/>
      <c r="DO26" s="246"/>
      <c r="DP26" s="246"/>
      <c r="DQ26" s="246"/>
      <c r="DR26" s="246"/>
      <c r="DS26" s="246"/>
      <c r="DT26" s="246"/>
      <c r="DU26" s="246"/>
      <c r="DV26" s="246"/>
      <c r="DW26" s="246"/>
      <c r="DX26" s="246"/>
      <c r="DY26" s="246"/>
      <c r="DZ26" s="246"/>
    </row>
    <row r="27" spans="2:130" ht="16.5">
      <c r="B27" s="226">
        <f t="shared" si="1"/>
        <v>0</v>
      </c>
      <c r="C27" s="227" t="str">
        <f t="shared" si="0"/>
        <v> </v>
      </c>
      <c r="D27" s="328"/>
      <c r="E27" s="328"/>
      <c r="F27" s="228"/>
      <c r="G27" s="229"/>
      <c r="H27" s="228"/>
      <c r="I27" s="251"/>
      <c r="J27" s="228"/>
      <c r="K27" s="231"/>
      <c r="L27" s="232"/>
      <c r="M27" s="233">
        <f t="shared" si="2"/>
        <v>0</v>
      </c>
      <c r="N27" s="302"/>
      <c r="O27" s="302"/>
      <c r="P27" s="326"/>
      <c r="Q27" s="326"/>
      <c r="R27" s="303"/>
      <c r="S27" s="304"/>
      <c r="T27" s="308"/>
      <c r="U27" s="234">
        <f t="shared" si="14"/>
        <v>0</v>
      </c>
      <c r="V27" s="235">
        <f t="shared" si="15"/>
        <v>0</v>
      </c>
      <c r="W27" s="309"/>
      <c r="X27" s="234">
        <f t="shared" si="16"/>
        <v>0</v>
      </c>
      <c r="Y27" s="236">
        <f t="shared" si="17"/>
        <v>0</v>
      </c>
      <c r="Z27" s="310"/>
      <c r="AA27" s="234">
        <f t="shared" si="18"/>
        <v>0</v>
      </c>
      <c r="AB27" s="237">
        <f t="shared" si="19"/>
        <v>0</v>
      </c>
      <c r="AC27" s="311"/>
      <c r="AD27" s="234">
        <f t="shared" si="20"/>
        <v>0</v>
      </c>
      <c r="AE27" s="238">
        <f t="shared" si="21"/>
        <v>0</v>
      </c>
      <c r="AF27" s="239">
        <f t="shared" si="11"/>
        <v>0</v>
      </c>
      <c r="AG27" s="228"/>
      <c r="AH27" s="250"/>
      <c r="AI27" s="242"/>
      <c r="AJ27" s="241" t="str">
        <f t="shared" si="22"/>
        <v>Hayır</v>
      </c>
      <c r="AK27" s="313"/>
      <c r="AL27" s="314"/>
      <c r="AM27" s="315"/>
      <c r="AN27" s="316"/>
      <c r="AO27" s="317"/>
      <c r="AP27" s="317"/>
      <c r="AQ27" s="329"/>
      <c r="AR27" s="330"/>
      <c r="AS27" s="320"/>
      <c r="AT27" s="321"/>
      <c r="AU27" s="320"/>
      <c r="AV27" s="320"/>
      <c r="AW27" s="130"/>
      <c r="AX27" s="130"/>
      <c r="AY27" s="242"/>
      <c r="AZ27" s="220"/>
      <c r="BA27" s="38">
        <f>ROUND(IF(AX27="Evet",100*Katsayılar!$I$28,0),2)</f>
        <v>0</v>
      </c>
      <c r="BB27" s="38">
        <f t="shared" si="13"/>
        <v>0</v>
      </c>
      <c r="BC27" s="334"/>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c r="CW27" s="246"/>
      <c r="CX27" s="246"/>
      <c r="CY27" s="246"/>
      <c r="CZ27" s="246"/>
      <c r="DA27" s="246"/>
      <c r="DB27" s="246"/>
      <c r="DC27" s="246"/>
      <c r="DD27" s="246"/>
      <c r="DE27" s="246"/>
      <c r="DF27" s="246"/>
      <c r="DG27" s="246"/>
      <c r="DH27" s="246"/>
      <c r="DI27" s="246"/>
      <c r="DJ27" s="246"/>
      <c r="DK27" s="246"/>
      <c r="DL27" s="246"/>
      <c r="DM27" s="246"/>
      <c r="DN27" s="246"/>
      <c r="DO27" s="246"/>
      <c r="DP27" s="246"/>
      <c r="DQ27" s="246"/>
      <c r="DR27" s="246"/>
      <c r="DS27" s="246"/>
      <c r="DT27" s="246"/>
      <c r="DU27" s="246"/>
      <c r="DV27" s="246"/>
      <c r="DW27" s="246"/>
      <c r="DX27" s="246"/>
      <c r="DY27" s="246"/>
      <c r="DZ27" s="246"/>
    </row>
    <row r="28" spans="2:130" ht="16.5">
      <c r="B28" s="226">
        <f t="shared" si="1"/>
        <v>0</v>
      </c>
      <c r="C28" s="227" t="str">
        <f t="shared" si="0"/>
        <v> </v>
      </c>
      <c r="D28" s="328"/>
      <c r="E28" s="328"/>
      <c r="F28" s="228"/>
      <c r="G28" s="229"/>
      <c r="H28" s="228"/>
      <c r="I28" s="251"/>
      <c r="J28" s="228"/>
      <c r="K28" s="231"/>
      <c r="L28" s="232"/>
      <c r="M28" s="233">
        <f t="shared" si="2"/>
        <v>0</v>
      </c>
      <c r="N28" s="302"/>
      <c r="O28" s="302"/>
      <c r="P28" s="326"/>
      <c r="Q28" s="326"/>
      <c r="R28" s="303"/>
      <c r="S28" s="304"/>
      <c r="T28" s="308"/>
      <c r="U28" s="234">
        <f t="shared" si="14"/>
        <v>0</v>
      </c>
      <c r="V28" s="235">
        <f t="shared" si="15"/>
        <v>0</v>
      </c>
      <c r="W28" s="309"/>
      <c r="X28" s="234">
        <f t="shared" si="16"/>
        <v>0</v>
      </c>
      <c r="Y28" s="236">
        <f t="shared" si="17"/>
        <v>0</v>
      </c>
      <c r="Z28" s="310"/>
      <c r="AA28" s="234">
        <f t="shared" si="18"/>
        <v>0</v>
      </c>
      <c r="AB28" s="237">
        <f t="shared" si="19"/>
        <v>0</v>
      </c>
      <c r="AC28" s="311"/>
      <c r="AD28" s="234">
        <f t="shared" si="20"/>
        <v>0</v>
      </c>
      <c r="AE28" s="238">
        <f t="shared" si="21"/>
        <v>0</v>
      </c>
      <c r="AF28" s="239">
        <f t="shared" si="11"/>
        <v>0</v>
      </c>
      <c r="AG28" s="228"/>
      <c r="AH28" s="250"/>
      <c r="AI28" s="242"/>
      <c r="AJ28" s="241" t="str">
        <f t="shared" si="22"/>
        <v>Hayır</v>
      </c>
      <c r="AK28" s="313"/>
      <c r="AL28" s="314"/>
      <c r="AM28" s="315"/>
      <c r="AN28" s="317"/>
      <c r="AO28" s="317"/>
      <c r="AP28" s="317"/>
      <c r="AQ28" s="329"/>
      <c r="AR28" s="330"/>
      <c r="AS28" s="320"/>
      <c r="AT28" s="321"/>
      <c r="AU28" s="320"/>
      <c r="AV28" s="320"/>
      <c r="AW28" s="130"/>
      <c r="AX28" s="130"/>
      <c r="AY28" s="242"/>
      <c r="AZ28" s="220"/>
      <c r="BA28" s="38">
        <f>ROUND(IF(AX28="Evet",100*Katsayılar!$I$28,0),2)</f>
        <v>0</v>
      </c>
      <c r="BB28" s="38">
        <f t="shared" si="13"/>
        <v>0</v>
      </c>
      <c r="BC28" s="130"/>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246"/>
      <c r="CO28" s="246"/>
      <c r="CP28" s="246"/>
      <c r="CQ28" s="246"/>
      <c r="CR28" s="246"/>
      <c r="CS28" s="246"/>
      <c r="CT28" s="246"/>
      <c r="CU28" s="246"/>
      <c r="CV28" s="246"/>
      <c r="CW28" s="246"/>
      <c r="CX28" s="246"/>
      <c r="CY28" s="246"/>
      <c r="CZ28" s="246"/>
      <c r="DA28" s="246"/>
      <c r="DB28" s="246"/>
      <c r="DC28" s="246"/>
      <c r="DD28" s="246"/>
      <c r="DE28" s="246"/>
      <c r="DF28" s="246"/>
      <c r="DG28" s="246"/>
      <c r="DH28" s="246"/>
      <c r="DI28" s="246"/>
      <c r="DJ28" s="246"/>
      <c r="DK28" s="246"/>
      <c r="DL28" s="246"/>
      <c r="DM28" s="246"/>
      <c r="DN28" s="246"/>
      <c r="DO28" s="246"/>
      <c r="DP28" s="246"/>
      <c r="DQ28" s="246"/>
      <c r="DR28" s="246"/>
      <c r="DS28" s="246"/>
      <c r="DT28" s="246"/>
      <c r="DU28" s="246"/>
      <c r="DV28" s="246"/>
      <c r="DW28" s="246"/>
      <c r="DX28" s="246"/>
      <c r="DY28" s="246"/>
      <c r="DZ28" s="246"/>
    </row>
    <row r="29" spans="2:130" ht="16.5">
      <c r="B29" s="226">
        <f t="shared" si="1"/>
        <v>0</v>
      </c>
      <c r="C29" s="243" t="str">
        <f t="shared" si="0"/>
        <v> </v>
      </c>
      <c r="D29" s="328"/>
      <c r="E29" s="328"/>
      <c r="F29" s="228"/>
      <c r="G29" s="229"/>
      <c r="H29" s="228"/>
      <c r="I29" s="251"/>
      <c r="J29" s="228"/>
      <c r="K29" s="231"/>
      <c r="L29" s="232"/>
      <c r="M29" s="233">
        <f t="shared" si="2"/>
        <v>0</v>
      </c>
      <c r="N29" s="302"/>
      <c r="O29" s="302"/>
      <c r="P29" s="326"/>
      <c r="Q29" s="326"/>
      <c r="R29" s="336"/>
      <c r="S29" s="304"/>
      <c r="T29" s="308"/>
      <c r="U29" s="234">
        <f t="shared" si="14"/>
        <v>0</v>
      </c>
      <c r="V29" s="235">
        <f t="shared" si="15"/>
        <v>0</v>
      </c>
      <c r="W29" s="309"/>
      <c r="X29" s="234">
        <f t="shared" si="16"/>
        <v>0</v>
      </c>
      <c r="Y29" s="236">
        <f t="shared" si="17"/>
        <v>0</v>
      </c>
      <c r="Z29" s="310"/>
      <c r="AA29" s="234">
        <f t="shared" si="18"/>
        <v>0</v>
      </c>
      <c r="AB29" s="237">
        <f t="shared" si="19"/>
        <v>0</v>
      </c>
      <c r="AC29" s="311"/>
      <c r="AD29" s="234">
        <f t="shared" si="20"/>
        <v>0</v>
      </c>
      <c r="AE29" s="238">
        <f t="shared" si="21"/>
        <v>0</v>
      </c>
      <c r="AF29" s="239">
        <f t="shared" si="11"/>
        <v>0</v>
      </c>
      <c r="AG29" s="228"/>
      <c r="AH29" s="250"/>
      <c r="AI29" s="242"/>
      <c r="AJ29" s="241" t="str">
        <f t="shared" si="22"/>
        <v>Hayır</v>
      </c>
      <c r="AK29" s="313"/>
      <c r="AL29" s="314"/>
      <c r="AM29" s="315"/>
      <c r="AN29" s="316"/>
      <c r="AO29" s="317"/>
      <c r="AP29" s="317"/>
      <c r="AQ29" s="329"/>
      <c r="AR29" s="330"/>
      <c r="AS29" s="320"/>
      <c r="AT29" s="321"/>
      <c r="AU29" s="320"/>
      <c r="AV29" s="320"/>
      <c r="AW29" s="130"/>
      <c r="AX29" s="130"/>
      <c r="AY29" s="242"/>
      <c r="AZ29" s="220"/>
      <c r="BA29" s="38">
        <f>ROUND(IF(AX29="Evet",100*Katsayılar!$I$28,0),2)</f>
        <v>0</v>
      </c>
      <c r="BB29" s="38">
        <f t="shared" si="13"/>
        <v>0</v>
      </c>
      <c r="BC29" s="130"/>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6"/>
      <c r="CO29" s="246"/>
      <c r="CP29" s="246"/>
      <c r="CQ29" s="246"/>
      <c r="CR29" s="246"/>
      <c r="CS29" s="246"/>
      <c r="CT29" s="246"/>
      <c r="CU29" s="246"/>
      <c r="CV29" s="246"/>
      <c r="CW29" s="246"/>
      <c r="CX29" s="246"/>
      <c r="CY29" s="246"/>
      <c r="CZ29" s="246"/>
      <c r="DA29" s="246"/>
      <c r="DB29" s="246"/>
      <c r="DC29" s="246"/>
      <c r="DD29" s="246"/>
      <c r="DE29" s="246"/>
      <c r="DF29" s="246"/>
      <c r="DG29" s="246"/>
      <c r="DH29" s="246"/>
      <c r="DI29" s="246"/>
      <c r="DJ29" s="246"/>
      <c r="DK29" s="246"/>
      <c r="DL29" s="246"/>
      <c r="DM29" s="246"/>
      <c r="DN29" s="246"/>
      <c r="DO29" s="246"/>
      <c r="DP29" s="246"/>
      <c r="DQ29" s="246"/>
      <c r="DR29" s="246"/>
      <c r="DS29" s="246"/>
      <c r="DT29" s="246"/>
      <c r="DU29" s="246"/>
      <c r="DV29" s="246"/>
      <c r="DW29" s="246"/>
      <c r="DX29" s="246"/>
      <c r="DY29" s="246"/>
      <c r="DZ29" s="246"/>
    </row>
    <row r="30" spans="2:55" ht="16.5">
      <c r="B30" s="226">
        <f t="shared" si="1"/>
        <v>0</v>
      </c>
      <c r="C30" s="227" t="str">
        <f t="shared" si="0"/>
        <v> </v>
      </c>
      <c r="D30" s="328"/>
      <c r="E30" s="328"/>
      <c r="F30" s="228"/>
      <c r="G30" s="229"/>
      <c r="H30" s="228"/>
      <c r="I30" s="251"/>
      <c r="J30" s="228"/>
      <c r="K30" s="231"/>
      <c r="L30" s="232"/>
      <c r="M30" s="233">
        <f t="shared" si="2"/>
        <v>0</v>
      </c>
      <c r="N30" s="302"/>
      <c r="O30" s="302"/>
      <c r="P30" s="326"/>
      <c r="Q30" s="326"/>
      <c r="R30" s="336"/>
      <c r="S30" s="304"/>
      <c r="T30" s="308"/>
      <c r="U30" s="234">
        <f t="shared" si="14"/>
        <v>0</v>
      </c>
      <c r="V30" s="235">
        <f t="shared" si="15"/>
        <v>0</v>
      </c>
      <c r="W30" s="309"/>
      <c r="X30" s="234">
        <f t="shared" si="16"/>
        <v>0</v>
      </c>
      <c r="Y30" s="236">
        <f t="shared" si="17"/>
        <v>0</v>
      </c>
      <c r="Z30" s="310"/>
      <c r="AA30" s="234">
        <f t="shared" si="18"/>
        <v>0</v>
      </c>
      <c r="AB30" s="237">
        <f t="shared" si="19"/>
        <v>0</v>
      </c>
      <c r="AC30" s="311"/>
      <c r="AD30" s="234">
        <f t="shared" si="20"/>
        <v>0</v>
      </c>
      <c r="AE30" s="238">
        <f t="shared" si="21"/>
        <v>0</v>
      </c>
      <c r="AF30" s="239">
        <f t="shared" si="11"/>
        <v>0</v>
      </c>
      <c r="AG30" s="228"/>
      <c r="AH30" s="250"/>
      <c r="AI30" s="252"/>
      <c r="AJ30" s="241" t="str">
        <f t="shared" si="22"/>
        <v>Hayır</v>
      </c>
      <c r="AK30" s="313"/>
      <c r="AL30" s="314"/>
      <c r="AM30" s="315"/>
      <c r="AN30" s="317"/>
      <c r="AO30" s="317"/>
      <c r="AP30" s="317"/>
      <c r="AQ30" s="329"/>
      <c r="AR30" s="330"/>
      <c r="AS30" s="320"/>
      <c r="AT30" s="321"/>
      <c r="AU30" s="320"/>
      <c r="AV30" s="322"/>
      <c r="AW30" s="130"/>
      <c r="AX30" s="130"/>
      <c r="AY30" s="242"/>
      <c r="AZ30" s="220"/>
      <c r="BA30" s="38">
        <f>ROUND(IF(AX30="Evet",100*Katsayılar!$I$28,0),2)</f>
        <v>0</v>
      </c>
      <c r="BB30" s="38">
        <f t="shared" si="13"/>
        <v>0</v>
      </c>
      <c r="BC30" s="130"/>
    </row>
    <row r="31" spans="2:55" ht="16.5">
      <c r="B31" s="226">
        <f t="shared" si="1"/>
        <v>0</v>
      </c>
      <c r="C31" s="227" t="str">
        <f t="shared" si="0"/>
        <v> </v>
      </c>
      <c r="D31" s="328"/>
      <c r="E31" s="328"/>
      <c r="F31" s="228"/>
      <c r="G31" s="229"/>
      <c r="H31" s="228"/>
      <c r="I31" s="251"/>
      <c r="J31" s="228"/>
      <c r="K31" s="231"/>
      <c r="L31" s="232"/>
      <c r="M31" s="233">
        <f t="shared" si="2"/>
        <v>0</v>
      </c>
      <c r="N31" s="302"/>
      <c r="O31" s="302"/>
      <c r="P31" s="326"/>
      <c r="Q31" s="326"/>
      <c r="R31" s="336"/>
      <c r="S31" s="304"/>
      <c r="T31" s="308"/>
      <c r="U31" s="234">
        <f t="shared" si="14"/>
        <v>0</v>
      </c>
      <c r="V31" s="235">
        <f t="shared" si="15"/>
        <v>0</v>
      </c>
      <c r="W31" s="309"/>
      <c r="X31" s="234">
        <f t="shared" si="16"/>
        <v>0</v>
      </c>
      <c r="Y31" s="236">
        <f t="shared" si="17"/>
        <v>0</v>
      </c>
      <c r="Z31" s="310"/>
      <c r="AA31" s="234">
        <f t="shared" si="18"/>
        <v>0</v>
      </c>
      <c r="AB31" s="237">
        <f t="shared" si="19"/>
        <v>0</v>
      </c>
      <c r="AC31" s="311"/>
      <c r="AD31" s="234">
        <f t="shared" si="20"/>
        <v>0</v>
      </c>
      <c r="AE31" s="238">
        <f t="shared" si="21"/>
        <v>0</v>
      </c>
      <c r="AF31" s="239">
        <f t="shared" si="11"/>
        <v>0</v>
      </c>
      <c r="AG31" s="228"/>
      <c r="AH31" s="253"/>
      <c r="AI31" s="242"/>
      <c r="AJ31" s="241" t="str">
        <f t="shared" si="22"/>
        <v>Hayır</v>
      </c>
      <c r="AK31" s="313"/>
      <c r="AL31" s="314"/>
      <c r="AM31" s="315"/>
      <c r="AN31" s="317"/>
      <c r="AO31" s="317"/>
      <c r="AP31" s="317"/>
      <c r="AQ31" s="329"/>
      <c r="AR31" s="330"/>
      <c r="AS31" s="320"/>
      <c r="AT31" s="321"/>
      <c r="AU31" s="320"/>
      <c r="AV31" s="322"/>
      <c r="AW31" s="130"/>
      <c r="AX31" s="334"/>
      <c r="AY31" s="242"/>
      <c r="AZ31" s="220"/>
      <c r="BA31" s="38">
        <f>ROUND(IF(AX31="Evet",100*Katsayılar!$I$28,0),2)</f>
        <v>0</v>
      </c>
      <c r="BB31" s="38">
        <f t="shared" si="13"/>
        <v>0</v>
      </c>
      <c r="BC31" s="130"/>
    </row>
    <row r="32" spans="2:55" ht="16.5">
      <c r="B32" s="226">
        <f t="shared" si="1"/>
        <v>0</v>
      </c>
      <c r="C32" s="243" t="str">
        <f t="shared" si="0"/>
        <v> </v>
      </c>
      <c r="D32" s="328"/>
      <c r="E32" s="328"/>
      <c r="F32" s="228"/>
      <c r="G32" s="229"/>
      <c r="H32" s="228"/>
      <c r="I32" s="251"/>
      <c r="J32" s="228"/>
      <c r="K32" s="231"/>
      <c r="L32" s="232"/>
      <c r="M32" s="233">
        <f t="shared" si="2"/>
        <v>0</v>
      </c>
      <c r="N32" s="302"/>
      <c r="O32" s="302"/>
      <c r="P32" s="326"/>
      <c r="Q32" s="326"/>
      <c r="R32" s="336"/>
      <c r="S32" s="304"/>
      <c r="T32" s="308"/>
      <c r="U32" s="234">
        <f t="shared" si="14"/>
        <v>0</v>
      </c>
      <c r="V32" s="235">
        <f t="shared" si="15"/>
        <v>0</v>
      </c>
      <c r="W32" s="309"/>
      <c r="X32" s="234">
        <f t="shared" si="16"/>
        <v>0</v>
      </c>
      <c r="Y32" s="236">
        <f t="shared" si="17"/>
        <v>0</v>
      </c>
      <c r="Z32" s="310"/>
      <c r="AA32" s="234">
        <f t="shared" si="18"/>
        <v>0</v>
      </c>
      <c r="AB32" s="237">
        <f t="shared" si="19"/>
        <v>0</v>
      </c>
      <c r="AC32" s="311"/>
      <c r="AD32" s="234">
        <f t="shared" si="20"/>
        <v>0</v>
      </c>
      <c r="AE32" s="238">
        <f t="shared" si="21"/>
        <v>0</v>
      </c>
      <c r="AF32" s="239">
        <f t="shared" si="11"/>
        <v>0</v>
      </c>
      <c r="AG32" s="228"/>
      <c r="AH32" s="254"/>
      <c r="AI32" s="242"/>
      <c r="AJ32" s="241" t="str">
        <f t="shared" si="22"/>
        <v>Hayır</v>
      </c>
      <c r="AK32" s="313"/>
      <c r="AL32" s="314"/>
      <c r="AM32" s="315"/>
      <c r="AN32" s="331"/>
      <c r="AO32" s="332"/>
      <c r="AP32" s="332"/>
      <c r="AQ32" s="329"/>
      <c r="AR32" s="330"/>
      <c r="AS32" s="320"/>
      <c r="AT32" s="321"/>
      <c r="AU32" s="320"/>
      <c r="AV32" s="322"/>
      <c r="AW32" s="130"/>
      <c r="AX32" s="334"/>
      <c r="AY32" s="242"/>
      <c r="AZ32" s="220"/>
      <c r="BA32" s="38">
        <f>ROUND(IF(AX32="Evet",100*Katsayılar!$I$28,0),2)</f>
        <v>0</v>
      </c>
      <c r="BB32" s="38">
        <f t="shared" si="13"/>
        <v>0</v>
      </c>
      <c r="BC32" s="130"/>
    </row>
    <row r="33" spans="2:55" ht="16.5">
      <c r="B33" s="226">
        <f t="shared" si="1"/>
        <v>0</v>
      </c>
      <c r="C33" s="227" t="str">
        <f t="shared" si="0"/>
        <v> </v>
      </c>
      <c r="D33" s="328"/>
      <c r="E33" s="328"/>
      <c r="F33" s="228"/>
      <c r="G33" s="229"/>
      <c r="H33" s="228"/>
      <c r="I33" s="251"/>
      <c r="J33" s="228"/>
      <c r="K33" s="231"/>
      <c r="L33" s="232"/>
      <c r="M33" s="233">
        <f t="shared" si="2"/>
        <v>0</v>
      </c>
      <c r="N33" s="302"/>
      <c r="O33" s="302"/>
      <c r="P33" s="326"/>
      <c r="Q33" s="326"/>
      <c r="R33" s="336"/>
      <c r="S33" s="304"/>
      <c r="T33" s="308"/>
      <c r="U33" s="234">
        <f t="shared" si="14"/>
        <v>0</v>
      </c>
      <c r="V33" s="235">
        <f t="shared" si="15"/>
        <v>0</v>
      </c>
      <c r="W33" s="309"/>
      <c r="X33" s="234">
        <f t="shared" si="16"/>
        <v>0</v>
      </c>
      <c r="Y33" s="236">
        <f t="shared" si="17"/>
        <v>0</v>
      </c>
      <c r="Z33" s="310"/>
      <c r="AA33" s="234">
        <f t="shared" si="18"/>
        <v>0</v>
      </c>
      <c r="AB33" s="237">
        <f t="shared" si="19"/>
        <v>0</v>
      </c>
      <c r="AC33" s="311"/>
      <c r="AD33" s="234">
        <f t="shared" si="20"/>
        <v>0</v>
      </c>
      <c r="AE33" s="238">
        <f t="shared" si="21"/>
        <v>0</v>
      </c>
      <c r="AF33" s="239">
        <f t="shared" si="11"/>
        <v>0</v>
      </c>
      <c r="AG33" s="228"/>
      <c r="AH33" s="250"/>
      <c r="AI33" s="242"/>
      <c r="AJ33" s="241" t="str">
        <f t="shared" si="22"/>
        <v>Hayır</v>
      </c>
      <c r="AK33" s="313"/>
      <c r="AL33" s="314"/>
      <c r="AM33" s="315"/>
      <c r="AN33" s="316"/>
      <c r="AO33" s="317"/>
      <c r="AP33" s="317"/>
      <c r="AQ33" s="329"/>
      <c r="AR33" s="330"/>
      <c r="AS33" s="320"/>
      <c r="AT33" s="321"/>
      <c r="AU33" s="320"/>
      <c r="AV33" s="320"/>
      <c r="AW33" s="130"/>
      <c r="AX33" s="130"/>
      <c r="AY33" s="242"/>
      <c r="AZ33" s="220"/>
      <c r="BA33" s="38">
        <f>ROUND(IF(AX33="Evet",100*Katsayılar!$I$28,0),2)</f>
        <v>0</v>
      </c>
      <c r="BB33" s="38">
        <f t="shared" si="13"/>
        <v>0</v>
      </c>
      <c r="BC33" s="130"/>
    </row>
    <row r="34" spans="2:55" ht="16.5">
      <c r="B34" s="226">
        <f t="shared" si="1"/>
        <v>0</v>
      </c>
      <c r="C34" s="227" t="str">
        <f t="shared" si="0"/>
        <v> </v>
      </c>
      <c r="D34" s="328"/>
      <c r="E34" s="328"/>
      <c r="F34" s="228"/>
      <c r="G34" s="229"/>
      <c r="H34" s="228"/>
      <c r="I34" s="251"/>
      <c r="J34" s="228"/>
      <c r="K34" s="231"/>
      <c r="L34" s="232"/>
      <c r="M34" s="233">
        <f t="shared" si="2"/>
        <v>0</v>
      </c>
      <c r="N34" s="302"/>
      <c r="O34" s="302"/>
      <c r="P34" s="326"/>
      <c r="Q34" s="326"/>
      <c r="R34" s="336"/>
      <c r="S34" s="304"/>
      <c r="T34" s="308"/>
      <c r="U34" s="234">
        <f t="shared" si="14"/>
        <v>0</v>
      </c>
      <c r="V34" s="235">
        <f t="shared" si="15"/>
        <v>0</v>
      </c>
      <c r="W34" s="309"/>
      <c r="X34" s="234">
        <f t="shared" si="16"/>
        <v>0</v>
      </c>
      <c r="Y34" s="236">
        <f t="shared" si="17"/>
        <v>0</v>
      </c>
      <c r="Z34" s="310"/>
      <c r="AA34" s="234">
        <f t="shared" si="18"/>
        <v>0</v>
      </c>
      <c r="AB34" s="237">
        <f t="shared" si="19"/>
        <v>0</v>
      </c>
      <c r="AC34" s="311"/>
      <c r="AD34" s="234">
        <f t="shared" si="20"/>
        <v>0</v>
      </c>
      <c r="AE34" s="238">
        <f t="shared" si="21"/>
        <v>0</v>
      </c>
      <c r="AF34" s="239">
        <f t="shared" si="11"/>
        <v>0</v>
      </c>
      <c r="AG34" s="228"/>
      <c r="AH34" s="249"/>
      <c r="AI34" s="242"/>
      <c r="AJ34" s="241" t="str">
        <f t="shared" si="22"/>
        <v>Hayır</v>
      </c>
      <c r="AK34" s="313"/>
      <c r="AL34" s="314"/>
      <c r="AM34" s="315"/>
      <c r="AN34" s="316"/>
      <c r="AO34" s="317"/>
      <c r="AP34" s="317"/>
      <c r="AQ34" s="329"/>
      <c r="AR34" s="330"/>
      <c r="AS34" s="320"/>
      <c r="AT34" s="321"/>
      <c r="AU34" s="320"/>
      <c r="AV34" s="320"/>
      <c r="AW34" s="130"/>
      <c r="AX34" s="130"/>
      <c r="AY34" s="242"/>
      <c r="AZ34" s="220"/>
      <c r="BA34" s="38">
        <f>ROUND(IF(AX34="Evet",100*Katsayılar!$I$28,0),2)</f>
        <v>0</v>
      </c>
      <c r="BB34" s="38">
        <f t="shared" si="13"/>
        <v>0</v>
      </c>
      <c r="BC34" s="130"/>
    </row>
    <row r="35" spans="2:55" ht="16.5">
      <c r="B35" s="226">
        <f t="shared" si="1"/>
        <v>0</v>
      </c>
      <c r="C35" s="227" t="str">
        <f t="shared" si="0"/>
        <v> </v>
      </c>
      <c r="D35" s="328"/>
      <c r="E35" s="328"/>
      <c r="F35" s="228"/>
      <c r="G35" s="229"/>
      <c r="H35" s="228"/>
      <c r="I35" s="251"/>
      <c r="J35" s="228"/>
      <c r="K35" s="231"/>
      <c r="L35" s="232"/>
      <c r="M35" s="233">
        <f t="shared" si="2"/>
        <v>0</v>
      </c>
      <c r="N35" s="302"/>
      <c r="O35" s="302"/>
      <c r="P35" s="326"/>
      <c r="Q35" s="326"/>
      <c r="R35" s="336"/>
      <c r="S35" s="304"/>
      <c r="T35" s="308"/>
      <c r="U35" s="234">
        <f t="shared" si="14"/>
        <v>0</v>
      </c>
      <c r="V35" s="235">
        <f t="shared" si="15"/>
        <v>0</v>
      </c>
      <c r="W35" s="309"/>
      <c r="X35" s="234">
        <f t="shared" si="16"/>
        <v>0</v>
      </c>
      <c r="Y35" s="236">
        <f t="shared" si="17"/>
        <v>0</v>
      </c>
      <c r="Z35" s="310"/>
      <c r="AA35" s="234">
        <f t="shared" si="18"/>
        <v>0</v>
      </c>
      <c r="AB35" s="237">
        <f t="shared" si="19"/>
        <v>0</v>
      </c>
      <c r="AC35" s="311"/>
      <c r="AD35" s="234">
        <f t="shared" si="20"/>
        <v>0</v>
      </c>
      <c r="AE35" s="238">
        <f t="shared" si="21"/>
        <v>0</v>
      </c>
      <c r="AF35" s="239">
        <f t="shared" si="11"/>
        <v>0</v>
      </c>
      <c r="AG35" s="228"/>
      <c r="AH35" s="250"/>
      <c r="AI35" s="242"/>
      <c r="AJ35" s="241" t="str">
        <f t="shared" si="22"/>
        <v>Hayır</v>
      </c>
      <c r="AK35" s="313"/>
      <c r="AL35" s="314"/>
      <c r="AM35" s="315"/>
      <c r="AN35" s="316"/>
      <c r="AO35" s="317"/>
      <c r="AP35" s="317"/>
      <c r="AQ35" s="329"/>
      <c r="AR35" s="330"/>
      <c r="AS35" s="320"/>
      <c r="AT35" s="321"/>
      <c r="AU35" s="320"/>
      <c r="AV35" s="320"/>
      <c r="AW35" s="130"/>
      <c r="AX35" s="130"/>
      <c r="AY35" s="242"/>
      <c r="AZ35" s="220"/>
      <c r="BA35" s="38">
        <f>ROUND(IF(AX35="Evet",100*Katsayılar!$I$28,0),2)</f>
        <v>0</v>
      </c>
      <c r="BB35" s="38">
        <f t="shared" si="13"/>
        <v>0</v>
      </c>
      <c r="BC35" s="130"/>
    </row>
    <row r="36" spans="2:55" ht="16.5">
      <c r="B36" s="226">
        <f t="shared" si="1"/>
        <v>0</v>
      </c>
      <c r="C36" s="227" t="str">
        <f t="shared" si="0"/>
        <v> </v>
      </c>
      <c r="D36" s="328"/>
      <c r="E36" s="328"/>
      <c r="F36" s="228"/>
      <c r="G36" s="229"/>
      <c r="H36" s="228"/>
      <c r="I36" s="251"/>
      <c r="J36" s="228"/>
      <c r="K36" s="231"/>
      <c r="L36" s="232"/>
      <c r="M36" s="233">
        <f t="shared" si="2"/>
        <v>0</v>
      </c>
      <c r="N36" s="302"/>
      <c r="O36" s="302"/>
      <c r="P36" s="326"/>
      <c r="Q36" s="326"/>
      <c r="R36" s="336"/>
      <c r="S36" s="304"/>
      <c r="T36" s="308"/>
      <c r="U36" s="234">
        <f t="shared" si="14"/>
        <v>0</v>
      </c>
      <c r="V36" s="235">
        <f t="shared" si="15"/>
        <v>0</v>
      </c>
      <c r="W36" s="309"/>
      <c r="X36" s="234">
        <f t="shared" si="16"/>
        <v>0</v>
      </c>
      <c r="Y36" s="236">
        <f t="shared" si="17"/>
        <v>0</v>
      </c>
      <c r="Z36" s="310"/>
      <c r="AA36" s="234">
        <f t="shared" si="18"/>
        <v>0</v>
      </c>
      <c r="AB36" s="237">
        <f t="shared" si="19"/>
        <v>0</v>
      </c>
      <c r="AC36" s="311"/>
      <c r="AD36" s="234">
        <f t="shared" si="20"/>
        <v>0</v>
      </c>
      <c r="AE36" s="238">
        <f t="shared" si="21"/>
        <v>0</v>
      </c>
      <c r="AF36" s="239">
        <f t="shared" si="11"/>
        <v>0</v>
      </c>
      <c r="AG36" s="228"/>
      <c r="AH36" s="250"/>
      <c r="AI36" s="242"/>
      <c r="AJ36" s="241" t="str">
        <f t="shared" si="22"/>
        <v>Hayır</v>
      </c>
      <c r="AK36" s="313"/>
      <c r="AL36" s="314"/>
      <c r="AM36" s="315"/>
      <c r="AN36" s="316"/>
      <c r="AO36" s="317"/>
      <c r="AP36" s="317"/>
      <c r="AQ36" s="329"/>
      <c r="AR36" s="330"/>
      <c r="AS36" s="320"/>
      <c r="AT36" s="321"/>
      <c r="AU36" s="320"/>
      <c r="AV36" s="320"/>
      <c r="AW36" s="130"/>
      <c r="AX36" s="130"/>
      <c r="AY36" s="242"/>
      <c r="AZ36" s="220"/>
      <c r="BA36" s="38">
        <f>ROUND(IF(AX36="Evet",100*Katsayılar!$I$28,0),2)</f>
        <v>0</v>
      </c>
      <c r="BB36" s="38">
        <f t="shared" si="13"/>
        <v>0</v>
      </c>
      <c r="BC36" s="130"/>
    </row>
    <row r="37" spans="2:55" ht="16.5">
      <c r="B37" s="226">
        <f t="shared" si="1"/>
        <v>0</v>
      </c>
      <c r="C37" s="243" t="str">
        <f t="shared" si="0"/>
        <v> </v>
      </c>
      <c r="D37" s="328"/>
      <c r="E37" s="328"/>
      <c r="F37" s="228"/>
      <c r="G37" s="229"/>
      <c r="H37" s="228"/>
      <c r="I37" s="251"/>
      <c r="J37" s="228"/>
      <c r="K37" s="231"/>
      <c r="L37" s="232"/>
      <c r="M37" s="233">
        <f t="shared" si="2"/>
        <v>0</v>
      </c>
      <c r="N37" s="302"/>
      <c r="O37" s="302"/>
      <c r="P37" s="326"/>
      <c r="Q37" s="326"/>
      <c r="R37" s="336"/>
      <c r="S37" s="304"/>
      <c r="T37" s="308"/>
      <c r="U37" s="234">
        <f t="shared" si="14"/>
        <v>0</v>
      </c>
      <c r="V37" s="235">
        <f t="shared" si="15"/>
        <v>0</v>
      </c>
      <c r="W37" s="309"/>
      <c r="X37" s="234">
        <f t="shared" si="16"/>
        <v>0</v>
      </c>
      <c r="Y37" s="236">
        <f t="shared" si="17"/>
        <v>0</v>
      </c>
      <c r="Z37" s="310"/>
      <c r="AA37" s="234">
        <f t="shared" si="18"/>
        <v>0</v>
      </c>
      <c r="AB37" s="237">
        <f t="shared" si="19"/>
        <v>0</v>
      </c>
      <c r="AC37" s="311"/>
      <c r="AD37" s="234">
        <f t="shared" si="20"/>
        <v>0</v>
      </c>
      <c r="AE37" s="238">
        <f t="shared" si="21"/>
        <v>0</v>
      </c>
      <c r="AF37" s="239">
        <f t="shared" si="11"/>
        <v>0</v>
      </c>
      <c r="AG37" s="228"/>
      <c r="AH37" s="250"/>
      <c r="AI37" s="242"/>
      <c r="AJ37" s="241" t="str">
        <f t="shared" si="22"/>
        <v>Hayır</v>
      </c>
      <c r="AK37" s="313"/>
      <c r="AL37" s="314"/>
      <c r="AM37" s="315"/>
      <c r="AN37" s="317"/>
      <c r="AO37" s="317"/>
      <c r="AP37" s="317"/>
      <c r="AQ37" s="329"/>
      <c r="AR37" s="330"/>
      <c r="AS37" s="320"/>
      <c r="AT37" s="321"/>
      <c r="AU37" s="320"/>
      <c r="AV37" s="320"/>
      <c r="AW37" s="130"/>
      <c r="AX37" s="130"/>
      <c r="AY37" s="242"/>
      <c r="AZ37" s="220"/>
      <c r="BA37" s="38">
        <f>ROUND(IF(AX37="Evet",100*Katsayılar!$I$28,0),2)</f>
        <v>0</v>
      </c>
      <c r="BB37" s="38">
        <f t="shared" si="13"/>
        <v>0</v>
      </c>
      <c r="BC37" s="130"/>
    </row>
    <row r="38" spans="2:55" ht="16.5">
      <c r="B38" s="226">
        <f t="shared" si="1"/>
        <v>0</v>
      </c>
      <c r="C38" s="227" t="str">
        <f t="shared" si="0"/>
        <v> </v>
      </c>
      <c r="D38" s="328"/>
      <c r="E38" s="328"/>
      <c r="F38" s="228"/>
      <c r="G38" s="229"/>
      <c r="H38" s="228"/>
      <c r="I38" s="251"/>
      <c r="J38" s="228"/>
      <c r="K38" s="231"/>
      <c r="L38" s="232"/>
      <c r="M38" s="233">
        <f t="shared" si="2"/>
        <v>0</v>
      </c>
      <c r="N38" s="302"/>
      <c r="O38" s="302"/>
      <c r="P38" s="326"/>
      <c r="Q38" s="326"/>
      <c r="R38" s="303"/>
      <c r="S38" s="304"/>
      <c r="T38" s="308"/>
      <c r="U38" s="234">
        <f t="shared" si="14"/>
        <v>0</v>
      </c>
      <c r="V38" s="235">
        <f t="shared" si="15"/>
        <v>0</v>
      </c>
      <c r="W38" s="309"/>
      <c r="X38" s="234">
        <f t="shared" si="16"/>
        <v>0</v>
      </c>
      <c r="Y38" s="236">
        <f t="shared" si="17"/>
        <v>0</v>
      </c>
      <c r="Z38" s="310"/>
      <c r="AA38" s="234">
        <f t="shared" si="18"/>
        <v>0</v>
      </c>
      <c r="AB38" s="237">
        <f t="shared" si="19"/>
        <v>0</v>
      </c>
      <c r="AC38" s="311"/>
      <c r="AD38" s="234">
        <f t="shared" si="20"/>
        <v>0</v>
      </c>
      <c r="AE38" s="238">
        <f t="shared" si="21"/>
        <v>0</v>
      </c>
      <c r="AF38" s="239">
        <f t="shared" si="11"/>
        <v>0</v>
      </c>
      <c r="AG38" s="228"/>
      <c r="AH38" s="250"/>
      <c r="AI38" s="242"/>
      <c r="AJ38" s="241" t="str">
        <f t="shared" si="22"/>
        <v>Hayır</v>
      </c>
      <c r="AK38" s="313"/>
      <c r="AL38" s="314"/>
      <c r="AM38" s="315"/>
      <c r="AN38" s="316"/>
      <c r="AO38" s="317"/>
      <c r="AP38" s="317"/>
      <c r="AQ38" s="329"/>
      <c r="AR38" s="330"/>
      <c r="AS38" s="320"/>
      <c r="AT38" s="321"/>
      <c r="AU38" s="320"/>
      <c r="AV38" s="320"/>
      <c r="AW38" s="130"/>
      <c r="AX38" s="130"/>
      <c r="AY38" s="242"/>
      <c r="AZ38" s="220"/>
      <c r="BA38" s="38">
        <f>ROUND(IF(AX38="Evet",100*Katsayılar!$I$28,0),2)</f>
        <v>0</v>
      </c>
      <c r="BB38" s="38">
        <f t="shared" si="13"/>
        <v>0</v>
      </c>
      <c r="BC38" s="130"/>
    </row>
    <row r="39" spans="2:55" ht="16.5">
      <c r="B39" s="226">
        <f t="shared" si="1"/>
        <v>0</v>
      </c>
      <c r="C39" s="227" t="str">
        <f t="shared" si="0"/>
        <v> </v>
      </c>
      <c r="D39" s="328"/>
      <c r="E39" s="328"/>
      <c r="F39" s="228"/>
      <c r="G39" s="229"/>
      <c r="H39" s="228"/>
      <c r="I39" s="251"/>
      <c r="J39" s="228"/>
      <c r="K39" s="231"/>
      <c r="L39" s="232"/>
      <c r="M39" s="233">
        <f t="shared" si="2"/>
        <v>0</v>
      </c>
      <c r="N39" s="302"/>
      <c r="O39" s="302"/>
      <c r="P39" s="326"/>
      <c r="Q39" s="326"/>
      <c r="R39" s="303"/>
      <c r="S39" s="304"/>
      <c r="T39" s="308"/>
      <c r="U39" s="234">
        <f t="shared" si="14"/>
        <v>0</v>
      </c>
      <c r="V39" s="235">
        <f t="shared" si="15"/>
        <v>0</v>
      </c>
      <c r="W39" s="309"/>
      <c r="X39" s="234">
        <f t="shared" si="16"/>
        <v>0</v>
      </c>
      <c r="Y39" s="236">
        <f t="shared" si="17"/>
        <v>0</v>
      </c>
      <c r="Z39" s="310"/>
      <c r="AA39" s="234">
        <f t="shared" si="18"/>
        <v>0</v>
      </c>
      <c r="AB39" s="237">
        <f t="shared" si="19"/>
        <v>0</v>
      </c>
      <c r="AC39" s="311"/>
      <c r="AD39" s="234">
        <f t="shared" si="20"/>
        <v>0</v>
      </c>
      <c r="AE39" s="238">
        <f t="shared" si="21"/>
        <v>0</v>
      </c>
      <c r="AF39" s="239">
        <f t="shared" si="11"/>
        <v>0</v>
      </c>
      <c r="AG39" s="228"/>
      <c r="AH39" s="250"/>
      <c r="AI39" s="242"/>
      <c r="AJ39" s="241" t="str">
        <f t="shared" si="22"/>
        <v>Hayır</v>
      </c>
      <c r="AK39" s="313"/>
      <c r="AL39" s="314"/>
      <c r="AM39" s="315"/>
      <c r="AN39" s="317"/>
      <c r="AO39" s="317"/>
      <c r="AP39" s="317"/>
      <c r="AQ39" s="329"/>
      <c r="AR39" s="330"/>
      <c r="AS39" s="320"/>
      <c r="AT39" s="321"/>
      <c r="AU39" s="320"/>
      <c r="AV39" s="320"/>
      <c r="AW39" s="130"/>
      <c r="AX39" s="130"/>
      <c r="AY39" s="242"/>
      <c r="AZ39" s="220"/>
      <c r="BA39" s="38">
        <f>ROUND(IF(AX39="Evet",100*Katsayılar!$I$28,0),2)</f>
        <v>0</v>
      </c>
      <c r="BB39" s="38">
        <f t="shared" si="13"/>
        <v>0</v>
      </c>
      <c r="BC39" s="130"/>
    </row>
    <row r="40" spans="2:55" ht="16.5">
      <c r="B40" s="226">
        <f t="shared" si="1"/>
        <v>0</v>
      </c>
      <c r="C40" s="227" t="str">
        <f t="shared" si="0"/>
        <v> </v>
      </c>
      <c r="D40" s="328"/>
      <c r="E40" s="328"/>
      <c r="F40" s="228"/>
      <c r="G40" s="229"/>
      <c r="H40" s="228"/>
      <c r="I40" s="251"/>
      <c r="J40" s="228"/>
      <c r="K40" s="231"/>
      <c r="L40" s="232"/>
      <c r="M40" s="233">
        <f t="shared" si="2"/>
        <v>0</v>
      </c>
      <c r="N40" s="302"/>
      <c r="O40" s="302"/>
      <c r="P40" s="326"/>
      <c r="Q40" s="326"/>
      <c r="R40" s="303"/>
      <c r="S40" s="304"/>
      <c r="T40" s="308"/>
      <c r="U40" s="234">
        <f t="shared" si="14"/>
        <v>0</v>
      </c>
      <c r="V40" s="235">
        <f t="shared" si="15"/>
        <v>0</v>
      </c>
      <c r="W40" s="309"/>
      <c r="X40" s="234">
        <f t="shared" si="16"/>
        <v>0</v>
      </c>
      <c r="Y40" s="236">
        <f t="shared" si="17"/>
        <v>0</v>
      </c>
      <c r="Z40" s="310"/>
      <c r="AA40" s="234">
        <f t="shared" si="18"/>
        <v>0</v>
      </c>
      <c r="AB40" s="237">
        <f t="shared" si="19"/>
        <v>0</v>
      </c>
      <c r="AC40" s="311"/>
      <c r="AD40" s="234">
        <f t="shared" si="20"/>
        <v>0</v>
      </c>
      <c r="AE40" s="238">
        <f t="shared" si="21"/>
        <v>0</v>
      </c>
      <c r="AF40" s="239">
        <f t="shared" si="11"/>
        <v>0</v>
      </c>
      <c r="AG40" s="228"/>
      <c r="AH40" s="250"/>
      <c r="AI40" s="242"/>
      <c r="AJ40" s="241" t="str">
        <f t="shared" si="22"/>
        <v>Hayır</v>
      </c>
      <c r="AK40" s="313"/>
      <c r="AL40" s="314"/>
      <c r="AM40" s="315"/>
      <c r="AN40" s="316"/>
      <c r="AO40" s="317"/>
      <c r="AP40" s="317"/>
      <c r="AQ40" s="329"/>
      <c r="AR40" s="330"/>
      <c r="AS40" s="320"/>
      <c r="AT40" s="321"/>
      <c r="AU40" s="320"/>
      <c r="AV40" s="320"/>
      <c r="AW40" s="130"/>
      <c r="AX40" s="130"/>
      <c r="AY40" s="242"/>
      <c r="AZ40" s="220"/>
      <c r="BA40" s="38">
        <f>ROUND(IF(AX40="Evet",100*Katsayılar!$I$28,0),2)</f>
        <v>0</v>
      </c>
      <c r="BB40" s="38">
        <f t="shared" si="13"/>
        <v>0</v>
      </c>
      <c r="BC40" s="130"/>
    </row>
    <row r="41" spans="2:55" ht="16.5">
      <c r="B41" s="226">
        <f t="shared" si="1"/>
        <v>0</v>
      </c>
      <c r="C41" s="227" t="str">
        <f t="shared" si="0"/>
        <v> </v>
      </c>
      <c r="D41" s="328"/>
      <c r="E41" s="328"/>
      <c r="F41" s="228"/>
      <c r="G41" s="229"/>
      <c r="H41" s="228"/>
      <c r="I41" s="251"/>
      <c r="J41" s="228"/>
      <c r="K41" s="231"/>
      <c r="L41" s="232"/>
      <c r="M41" s="233">
        <f t="shared" si="2"/>
        <v>0</v>
      </c>
      <c r="N41" s="302"/>
      <c r="O41" s="302"/>
      <c r="P41" s="326"/>
      <c r="Q41" s="326"/>
      <c r="R41" s="303"/>
      <c r="S41" s="304"/>
      <c r="T41" s="308"/>
      <c r="U41" s="234">
        <f t="shared" si="14"/>
        <v>0</v>
      </c>
      <c r="V41" s="235">
        <f t="shared" si="15"/>
        <v>0</v>
      </c>
      <c r="W41" s="309"/>
      <c r="X41" s="234">
        <f t="shared" si="16"/>
        <v>0</v>
      </c>
      <c r="Y41" s="236">
        <f t="shared" si="17"/>
        <v>0</v>
      </c>
      <c r="Z41" s="310"/>
      <c r="AA41" s="234">
        <f t="shared" si="18"/>
        <v>0</v>
      </c>
      <c r="AB41" s="237">
        <f t="shared" si="19"/>
        <v>0</v>
      </c>
      <c r="AC41" s="311"/>
      <c r="AD41" s="234">
        <f t="shared" si="20"/>
        <v>0</v>
      </c>
      <c r="AE41" s="238">
        <f t="shared" si="21"/>
        <v>0</v>
      </c>
      <c r="AF41" s="239">
        <f t="shared" si="11"/>
        <v>0</v>
      </c>
      <c r="AG41" s="228"/>
      <c r="AH41" s="250"/>
      <c r="AI41" s="242"/>
      <c r="AJ41" s="241" t="str">
        <f t="shared" si="22"/>
        <v>Hayır</v>
      </c>
      <c r="AK41" s="313"/>
      <c r="AL41" s="314"/>
      <c r="AM41" s="315"/>
      <c r="AN41" s="316"/>
      <c r="AO41" s="317"/>
      <c r="AP41" s="317"/>
      <c r="AQ41" s="329"/>
      <c r="AR41" s="330"/>
      <c r="AS41" s="320"/>
      <c r="AT41" s="321"/>
      <c r="AU41" s="320"/>
      <c r="AV41" s="320"/>
      <c r="AW41" s="130"/>
      <c r="AX41" s="130"/>
      <c r="AY41" s="242"/>
      <c r="AZ41" s="220"/>
      <c r="BA41" s="38">
        <f>ROUND(IF(AX41="Evet",100*Katsayılar!$I$28,0),2)</f>
        <v>0</v>
      </c>
      <c r="BB41" s="38">
        <f t="shared" si="13"/>
        <v>0</v>
      </c>
      <c r="BC41" s="130"/>
    </row>
    <row r="42" spans="2:55" ht="16.5">
      <c r="B42" s="226">
        <f t="shared" si="1"/>
        <v>0</v>
      </c>
      <c r="C42" s="227" t="str">
        <f t="shared" si="0"/>
        <v> </v>
      </c>
      <c r="D42" s="328"/>
      <c r="E42" s="328"/>
      <c r="F42" s="228"/>
      <c r="G42" s="229"/>
      <c r="H42" s="228"/>
      <c r="I42" s="251"/>
      <c r="J42" s="228"/>
      <c r="K42" s="231"/>
      <c r="L42" s="232"/>
      <c r="M42" s="233">
        <f t="shared" si="2"/>
        <v>0</v>
      </c>
      <c r="N42" s="302"/>
      <c r="O42" s="302"/>
      <c r="P42" s="326"/>
      <c r="Q42" s="326"/>
      <c r="R42" s="303"/>
      <c r="S42" s="304"/>
      <c r="T42" s="308"/>
      <c r="U42" s="234">
        <f t="shared" si="14"/>
        <v>0</v>
      </c>
      <c r="V42" s="235">
        <f t="shared" si="15"/>
        <v>0</v>
      </c>
      <c r="W42" s="309"/>
      <c r="X42" s="234">
        <f t="shared" si="16"/>
        <v>0</v>
      </c>
      <c r="Y42" s="236">
        <f t="shared" si="17"/>
        <v>0</v>
      </c>
      <c r="Z42" s="310"/>
      <c r="AA42" s="234">
        <f t="shared" si="18"/>
        <v>0</v>
      </c>
      <c r="AB42" s="237">
        <f t="shared" si="19"/>
        <v>0</v>
      </c>
      <c r="AC42" s="311"/>
      <c r="AD42" s="234">
        <f t="shared" si="20"/>
        <v>0</v>
      </c>
      <c r="AE42" s="238">
        <f t="shared" si="21"/>
        <v>0</v>
      </c>
      <c r="AF42" s="239">
        <f t="shared" si="11"/>
        <v>0</v>
      </c>
      <c r="AG42" s="228"/>
      <c r="AH42" s="250"/>
      <c r="AI42" s="242"/>
      <c r="AJ42" s="241" t="str">
        <f t="shared" si="22"/>
        <v>Hayır</v>
      </c>
      <c r="AK42" s="313"/>
      <c r="AL42" s="314"/>
      <c r="AM42" s="315"/>
      <c r="AN42" s="316"/>
      <c r="AO42" s="317"/>
      <c r="AP42" s="317"/>
      <c r="AQ42" s="329"/>
      <c r="AR42" s="330"/>
      <c r="AS42" s="320"/>
      <c r="AT42" s="321"/>
      <c r="AU42" s="320"/>
      <c r="AV42" s="320"/>
      <c r="AW42" s="130"/>
      <c r="AX42" s="130"/>
      <c r="AY42" s="242"/>
      <c r="AZ42" s="220"/>
      <c r="BA42" s="38">
        <f>ROUND(IF(AX42="Evet",100*Katsayılar!$I$28,0),2)</f>
        <v>0</v>
      </c>
      <c r="BB42" s="38">
        <f t="shared" si="13"/>
        <v>0</v>
      </c>
      <c r="BC42" s="130"/>
    </row>
    <row r="43" spans="2:55" ht="16.5">
      <c r="B43" s="226">
        <f t="shared" si="1"/>
        <v>0</v>
      </c>
      <c r="C43" s="227" t="str">
        <f>CONCATENATE(D43," ",E43)</f>
        <v> </v>
      </c>
      <c r="D43" s="328"/>
      <c r="E43" s="328"/>
      <c r="F43" s="228"/>
      <c r="G43" s="229"/>
      <c r="H43" s="228"/>
      <c r="I43" s="251"/>
      <c r="J43" s="228"/>
      <c r="K43" s="231"/>
      <c r="L43" s="232"/>
      <c r="M43" s="233">
        <f t="shared" si="2"/>
        <v>0</v>
      </c>
      <c r="N43" s="302"/>
      <c r="O43" s="302"/>
      <c r="P43" s="326"/>
      <c r="Q43" s="326"/>
      <c r="R43" s="303"/>
      <c r="S43" s="304"/>
      <c r="T43" s="308"/>
      <c r="U43" s="234">
        <f>IF(T43="",0,($D$1-T43)/365*12)</f>
        <v>0</v>
      </c>
      <c r="V43" s="235">
        <f>IF(U43=0,0,IF(U43&lt;=72,(297*2),297))</f>
        <v>0</v>
      </c>
      <c r="W43" s="309"/>
      <c r="X43" s="234">
        <f>IF(W43="",0,($D$1-W43)/365*12)</f>
        <v>0</v>
      </c>
      <c r="Y43" s="236">
        <f>IF(X43=0,0,IF(X43&lt;=72,(297*2),297))</f>
        <v>0</v>
      </c>
      <c r="Z43" s="310"/>
      <c r="AA43" s="234">
        <f>IF(Z43="",0,($D$1-Z43)/365*12)</f>
        <v>0</v>
      </c>
      <c r="AB43" s="237">
        <f>IF(AA43=0,0,IF(AA43&lt;=72,(297*2),297))</f>
        <v>0</v>
      </c>
      <c r="AC43" s="311"/>
      <c r="AD43" s="234">
        <f>IF(AC43="",0,($D$1-AC43)/365*12)</f>
        <v>0</v>
      </c>
      <c r="AE43" s="238">
        <f>IF(AD43=0,0,IF(AD43&lt;=72,(297*2),297))</f>
        <v>0</v>
      </c>
      <c r="AF43" s="239">
        <f>V43+Y43+AB43+AE43</f>
        <v>0</v>
      </c>
      <c r="AG43" s="228"/>
      <c r="AH43" s="250"/>
      <c r="AI43" s="242"/>
      <c r="AJ43" s="241" t="str">
        <f>IF(AL43="","Hayır","EVET")</f>
        <v>Hayır</v>
      </c>
      <c r="AK43" s="313"/>
      <c r="AL43" s="314"/>
      <c r="AM43" s="315"/>
      <c r="AN43" s="316"/>
      <c r="AO43" s="317"/>
      <c r="AP43" s="317"/>
      <c r="AQ43" s="329"/>
      <c r="AR43" s="330"/>
      <c r="AS43" s="320"/>
      <c r="AT43" s="321"/>
      <c r="AU43" s="320"/>
      <c r="AV43" s="320"/>
      <c r="AW43" s="130"/>
      <c r="AX43" s="130"/>
      <c r="AY43" s="242"/>
      <c r="AZ43" s="220"/>
      <c r="BA43" s="38">
        <f>ROUND(IF(AX43="Evet",100*Katsayılar!$I$28,0),2)</f>
        <v>0</v>
      </c>
      <c r="BB43" s="38">
        <f t="shared" si="13"/>
        <v>0</v>
      </c>
      <c r="BC43" s="130"/>
    </row>
    <row r="44" spans="2:55" ht="16.5">
      <c r="B44" s="226">
        <f t="shared" si="1"/>
        <v>0</v>
      </c>
      <c r="C44" s="227" t="str">
        <f t="shared" si="0"/>
        <v> </v>
      </c>
      <c r="D44" s="328"/>
      <c r="E44" s="328"/>
      <c r="F44" s="228"/>
      <c r="G44" s="229"/>
      <c r="H44" s="228"/>
      <c r="I44" s="251"/>
      <c r="J44" s="228"/>
      <c r="K44" s="231"/>
      <c r="L44" s="232"/>
      <c r="M44" s="233">
        <f t="shared" si="2"/>
        <v>0</v>
      </c>
      <c r="N44" s="302"/>
      <c r="O44" s="302"/>
      <c r="P44" s="326"/>
      <c r="Q44" s="326"/>
      <c r="R44" s="303"/>
      <c r="S44" s="304"/>
      <c r="T44" s="308"/>
      <c r="U44" s="234">
        <f t="shared" si="14"/>
        <v>0</v>
      </c>
      <c r="V44" s="235">
        <f t="shared" si="15"/>
        <v>0</v>
      </c>
      <c r="W44" s="309"/>
      <c r="X44" s="234">
        <f t="shared" si="16"/>
        <v>0</v>
      </c>
      <c r="Y44" s="236">
        <f t="shared" si="17"/>
        <v>0</v>
      </c>
      <c r="Z44" s="310"/>
      <c r="AA44" s="234">
        <f t="shared" si="18"/>
        <v>0</v>
      </c>
      <c r="AB44" s="237">
        <f t="shared" si="19"/>
        <v>0</v>
      </c>
      <c r="AC44" s="311"/>
      <c r="AD44" s="234">
        <f t="shared" si="20"/>
        <v>0</v>
      </c>
      <c r="AE44" s="238">
        <f t="shared" si="21"/>
        <v>0</v>
      </c>
      <c r="AF44" s="239">
        <f t="shared" si="11"/>
        <v>0</v>
      </c>
      <c r="AG44" s="228"/>
      <c r="AH44" s="250"/>
      <c r="AI44" s="242"/>
      <c r="AJ44" s="241" t="str">
        <f t="shared" si="22"/>
        <v>Hayır</v>
      </c>
      <c r="AK44" s="313"/>
      <c r="AL44" s="314"/>
      <c r="AM44" s="315"/>
      <c r="AN44" s="317"/>
      <c r="AO44" s="317"/>
      <c r="AP44" s="317"/>
      <c r="AQ44" s="329"/>
      <c r="AR44" s="330"/>
      <c r="AS44" s="320"/>
      <c r="AT44" s="321"/>
      <c r="AU44" s="320"/>
      <c r="AV44" s="320"/>
      <c r="AW44" s="130"/>
      <c r="AX44" s="130"/>
      <c r="AY44" s="242"/>
      <c r="AZ44" s="220"/>
      <c r="BA44" s="38">
        <f>ROUND(IF(AX44="Evet",100*Katsayılar!$I$28,0),2)</f>
        <v>0</v>
      </c>
      <c r="BB44" s="38">
        <f t="shared" si="13"/>
        <v>0</v>
      </c>
      <c r="BC44" s="130"/>
    </row>
    <row r="45" spans="2:56" ht="16.5">
      <c r="B45" s="226">
        <f t="shared" si="1"/>
        <v>0</v>
      </c>
      <c r="C45" s="227" t="str">
        <f t="shared" si="0"/>
        <v> </v>
      </c>
      <c r="D45" s="328"/>
      <c r="E45" s="328"/>
      <c r="F45" s="228"/>
      <c r="G45" s="229"/>
      <c r="H45" s="228"/>
      <c r="I45" s="251"/>
      <c r="J45" s="228"/>
      <c r="K45" s="231"/>
      <c r="L45" s="232"/>
      <c r="M45" s="233">
        <f t="shared" si="2"/>
        <v>0</v>
      </c>
      <c r="N45" s="302"/>
      <c r="O45" s="302"/>
      <c r="P45" s="326"/>
      <c r="Q45" s="326"/>
      <c r="R45" s="336"/>
      <c r="S45" s="304"/>
      <c r="T45" s="308"/>
      <c r="U45" s="234">
        <f t="shared" si="14"/>
        <v>0</v>
      </c>
      <c r="V45" s="235">
        <f t="shared" si="15"/>
        <v>0</v>
      </c>
      <c r="W45" s="309"/>
      <c r="X45" s="234">
        <f t="shared" si="16"/>
        <v>0</v>
      </c>
      <c r="Y45" s="236">
        <f t="shared" si="17"/>
        <v>0</v>
      </c>
      <c r="Z45" s="310"/>
      <c r="AA45" s="234">
        <f t="shared" si="18"/>
        <v>0</v>
      </c>
      <c r="AB45" s="237">
        <f t="shared" si="19"/>
        <v>0</v>
      </c>
      <c r="AC45" s="311"/>
      <c r="AD45" s="234">
        <f t="shared" si="20"/>
        <v>0</v>
      </c>
      <c r="AE45" s="238">
        <f t="shared" si="21"/>
        <v>0</v>
      </c>
      <c r="AF45" s="239">
        <f t="shared" si="11"/>
        <v>0</v>
      </c>
      <c r="AG45" s="228"/>
      <c r="AH45" s="250"/>
      <c r="AI45" s="255"/>
      <c r="AJ45" s="241" t="str">
        <f t="shared" si="22"/>
        <v>Hayır</v>
      </c>
      <c r="AK45" s="313"/>
      <c r="AL45" s="314"/>
      <c r="AM45" s="315"/>
      <c r="AN45" s="316"/>
      <c r="AO45" s="317"/>
      <c r="AP45" s="317"/>
      <c r="AQ45" s="329"/>
      <c r="AR45" s="330"/>
      <c r="AS45" s="320"/>
      <c r="AT45" s="321"/>
      <c r="AU45" s="320"/>
      <c r="AV45" s="320"/>
      <c r="AW45" s="130"/>
      <c r="AX45" s="130"/>
      <c r="AY45" s="242"/>
      <c r="AZ45" s="220"/>
      <c r="BA45" s="38">
        <f>ROUND(IF(AX45="Evet",100*Katsayılar!$I$28,0),2)</f>
        <v>0</v>
      </c>
      <c r="BB45" s="38">
        <f t="shared" si="13"/>
        <v>0</v>
      </c>
      <c r="BC45" s="334"/>
      <c r="BD45" s="246"/>
    </row>
    <row r="46" spans="2:55" ht="16.5">
      <c r="B46" s="226">
        <f t="shared" si="1"/>
        <v>0</v>
      </c>
      <c r="C46" s="227" t="str">
        <f t="shared" si="0"/>
        <v> </v>
      </c>
      <c r="D46" s="328"/>
      <c r="E46" s="328"/>
      <c r="F46" s="228"/>
      <c r="G46" s="229"/>
      <c r="H46" s="228"/>
      <c r="I46" s="251"/>
      <c r="J46" s="228"/>
      <c r="K46" s="231"/>
      <c r="L46" s="232"/>
      <c r="M46" s="233">
        <f t="shared" si="2"/>
        <v>0</v>
      </c>
      <c r="N46" s="302"/>
      <c r="O46" s="302"/>
      <c r="P46" s="326"/>
      <c r="Q46" s="326"/>
      <c r="R46" s="303"/>
      <c r="S46" s="304"/>
      <c r="T46" s="308"/>
      <c r="U46" s="234">
        <f t="shared" si="14"/>
        <v>0</v>
      </c>
      <c r="V46" s="235">
        <f t="shared" si="15"/>
        <v>0</v>
      </c>
      <c r="W46" s="309"/>
      <c r="X46" s="234">
        <f t="shared" si="16"/>
        <v>0</v>
      </c>
      <c r="Y46" s="236">
        <f t="shared" si="17"/>
        <v>0</v>
      </c>
      <c r="Z46" s="310"/>
      <c r="AA46" s="234">
        <f t="shared" si="18"/>
        <v>0</v>
      </c>
      <c r="AB46" s="237">
        <f t="shared" si="19"/>
        <v>0</v>
      </c>
      <c r="AC46" s="311"/>
      <c r="AD46" s="234">
        <f t="shared" si="20"/>
        <v>0</v>
      </c>
      <c r="AE46" s="238">
        <f t="shared" si="21"/>
        <v>0</v>
      </c>
      <c r="AF46" s="239">
        <f t="shared" si="11"/>
        <v>0</v>
      </c>
      <c r="AG46" s="228"/>
      <c r="AH46" s="250"/>
      <c r="AI46" s="255"/>
      <c r="AJ46" s="241" t="str">
        <f t="shared" si="22"/>
        <v>Hayır</v>
      </c>
      <c r="AK46" s="333"/>
      <c r="AL46" s="314"/>
      <c r="AM46" s="315"/>
      <c r="AN46" s="316"/>
      <c r="AO46" s="317"/>
      <c r="AP46" s="317"/>
      <c r="AQ46" s="329"/>
      <c r="AR46" s="330"/>
      <c r="AS46" s="320"/>
      <c r="AT46" s="321"/>
      <c r="AU46" s="320"/>
      <c r="AV46" s="320"/>
      <c r="AW46" s="130"/>
      <c r="AX46" s="130"/>
      <c r="AY46" s="242"/>
      <c r="AZ46" s="220"/>
      <c r="BA46" s="38">
        <f>ROUND(IF(AX46="Evet",100*Katsayılar!$I$28,0),2)</f>
        <v>0</v>
      </c>
      <c r="BB46" s="38">
        <f t="shared" si="13"/>
        <v>0</v>
      </c>
      <c r="BC46" s="130"/>
    </row>
    <row r="47" spans="2:55" ht="16.5">
      <c r="B47" s="226">
        <f t="shared" si="1"/>
        <v>0</v>
      </c>
      <c r="C47" s="227" t="str">
        <f t="shared" si="0"/>
        <v> </v>
      </c>
      <c r="D47" s="327"/>
      <c r="E47" s="327"/>
      <c r="F47" s="228"/>
      <c r="G47" s="228"/>
      <c r="H47" s="228"/>
      <c r="I47" s="251"/>
      <c r="J47" s="228"/>
      <c r="K47" s="231"/>
      <c r="L47" s="256"/>
      <c r="M47" s="233">
        <f t="shared" si="2"/>
        <v>0</v>
      </c>
      <c r="N47" s="302"/>
      <c r="O47" s="302"/>
      <c r="P47" s="326"/>
      <c r="Q47" s="326"/>
      <c r="R47" s="336"/>
      <c r="S47" s="304"/>
      <c r="T47" s="308"/>
      <c r="U47" s="234">
        <f t="shared" si="14"/>
        <v>0</v>
      </c>
      <c r="V47" s="235">
        <f t="shared" si="15"/>
        <v>0</v>
      </c>
      <c r="W47" s="309"/>
      <c r="X47" s="234">
        <f t="shared" si="16"/>
        <v>0</v>
      </c>
      <c r="Y47" s="236">
        <f t="shared" si="17"/>
        <v>0</v>
      </c>
      <c r="Z47" s="310"/>
      <c r="AA47" s="234">
        <f t="shared" si="18"/>
        <v>0</v>
      </c>
      <c r="AB47" s="237">
        <f t="shared" si="19"/>
        <v>0</v>
      </c>
      <c r="AC47" s="311"/>
      <c r="AD47" s="234">
        <f t="shared" si="20"/>
        <v>0</v>
      </c>
      <c r="AE47" s="238">
        <f t="shared" si="21"/>
        <v>0</v>
      </c>
      <c r="AF47" s="239">
        <f t="shared" si="11"/>
        <v>0</v>
      </c>
      <c r="AG47" s="228"/>
      <c r="AH47" s="250"/>
      <c r="AI47" s="255"/>
      <c r="AJ47" s="241" t="str">
        <f t="shared" si="22"/>
        <v>Hayır</v>
      </c>
      <c r="AK47" s="313"/>
      <c r="AL47" s="314"/>
      <c r="AM47" s="315"/>
      <c r="AN47" s="316"/>
      <c r="AO47" s="317"/>
      <c r="AP47" s="317"/>
      <c r="AQ47" s="329"/>
      <c r="AR47" s="330"/>
      <c r="AS47" s="320"/>
      <c r="AT47" s="321"/>
      <c r="AU47" s="320"/>
      <c r="AV47" s="320"/>
      <c r="AW47" s="130"/>
      <c r="AX47" s="130"/>
      <c r="AY47" s="242"/>
      <c r="AZ47" s="220"/>
      <c r="BA47" s="38">
        <f>ROUND(IF(AX47="Evet",100*Katsayılar!$I$28,0),2)</f>
        <v>0</v>
      </c>
      <c r="BB47" s="38">
        <f t="shared" si="13"/>
        <v>0</v>
      </c>
      <c r="BC47" s="130"/>
    </row>
    <row r="48" spans="2:55" ht="16.5">
      <c r="B48" s="226">
        <f t="shared" si="1"/>
        <v>0</v>
      </c>
      <c r="C48" s="227" t="str">
        <f t="shared" si="0"/>
        <v> </v>
      </c>
      <c r="D48" s="328"/>
      <c r="E48" s="328"/>
      <c r="F48" s="228"/>
      <c r="G48" s="228"/>
      <c r="H48" s="228"/>
      <c r="I48" s="251"/>
      <c r="J48" s="228"/>
      <c r="K48" s="231"/>
      <c r="L48" s="232"/>
      <c r="M48" s="233">
        <f t="shared" si="2"/>
        <v>0</v>
      </c>
      <c r="N48" s="302"/>
      <c r="O48" s="302"/>
      <c r="P48" s="326"/>
      <c r="Q48" s="326"/>
      <c r="R48" s="303"/>
      <c r="S48" s="304"/>
      <c r="T48" s="308"/>
      <c r="U48" s="234">
        <f t="shared" si="14"/>
        <v>0</v>
      </c>
      <c r="V48" s="235">
        <f t="shared" si="15"/>
        <v>0</v>
      </c>
      <c r="W48" s="309"/>
      <c r="X48" s="234">
        <f t="shared" si="16"/>
        <v>0</v>
      </c>
      <c r="Y48" s="236">
        <f t="shared" si="17"/>
        <v>0</v>
      </c>
      <c r="Z48" s="310"/>
      <c r="AA48" s="234">
        <f t="shared" si="18"/>
        <v>0</v>
      </c>
      <c r="AB48" s="237">
        <f t="shared" si="19"/>
        <v>0</v>
      </c>
      <c r="AC48" s="311"/>
      <c r="AD48" s="234">
        <f t="shared" si="20"/>
        <v>0</v>
      </c>
      <c r="AE48" s="238">
        <f t="shared" si="21"/>
        <v>0</v>
      </c>
      <c r="AF48" s="239">
        <f t="shared" si="11"/>
        <v>0</v>
      </c>
      <c r="AG48" s="228"/>
      <c r="AH48" s="250"/>
      <c r="AI48" s="242"/>
      <c r="AJ48" s="241" t="str">
        <f t="shared" si="22"/>
        <v>Hayır</v>
      </c>
      <c r="AK48" s="318"/>
      <c r="AL48" s="314"/>
      <c r="AM48" s="315"/>
      <c r="AN48" s="316"/>
      <c r="AO48" s="317"/>
      <c r="AP48" s="317"/>
      <c r="AQ48" s="329"/>
      <c r="AR48" s="330"/>
      <c r="AS48" s="320"/>
      <c r="AT48" s="321"/>
      <c r="AU48" s="320"/>
      <c r="AV48" s="320"/>
      <c r="AW48" s="130"/>
      <c r="AX48" s="130"/>
      <c r="AY48" s="242"/>
      <c r="AZ48" s="220"/>
      <c r="BA48" s="38">
        <f>ROUND(IF(AX48="Evet",100*Katsayılar!$I$28,0),2)</f>
        <v>0</v>
      </c>
      <c r="BB48" s="38">
        <f t="shared" si="13"/>
        <v>0</v>
      </c>
      <c r="BC48" s="130"/>
    </row>
    <row r="49" spans="2:55" ht="16.5">
      <c r="B49" s="226">
        <f t="shared" si="1"/>
        <v>0</v>
      </c>
      <c r="C49" s="227" t="str">
        <f t="shared" si="0"/>
        <v> </v>
      </c>
      <c r="D49" s="328"/>
      <c r="E49" s="328"/>
      <c r="F49" s="228"/>
      <c r="G49" s="228"/>
      <c r="H49" s="228"/>
      <c r="I49" s="251"/>
      <c r="J49" s="228"/>
      <c r="K49" s="231"/>
      <c r="L49" s="232"/>
      <c r="M49" s="233">
        <f t="shared" si="2"/>
        <v>0</v>
      </c>
      <c r="N49" s="302"/>
      <c r="O49" s="302"/>
      <c r="P49" s="326"/>
      <c r="Q49" s="326"/>
      <c r="R49" s="303"/>
      <c r="S49" s="304"/>
      <c r="T49" s="308"/>
      <c r="U49" s="234">
        <f t="shared" si="14"/>
        <v>0</v>
      </c>
      <c r="V49" s="235">
        <f t="shared" si="15"/>
        <v>0</v>
      </c>
      <c r="W49" s="309"/>
      <c r="X49" s="234">
        <f t="shared" si="16"/>
        <v>0</v>
      </c>
      <c r="Y49" s="236">
        <f t="shared" si="17"/>
        <v>0</v>
      </c>
      <c r="Z49" s="310"/>
      <c r="AA49" s="234">
        <f t="shared" si="18"/>
        <v>0</v>
      </c>
      <c r="AB49" s="237">
        <f t="shared" si="19"/>
        <v>0</v>
      </c>
      <c r="AC49" s="311"/>
      <c r="AD49" s="234">
        <f t="shared" si="20"/>
        <v>0</v>
      </c>
      <c r="AE49" s="238">
        <f t="shared" si="21"/>
        <v>0</v>
      </c>
      <c r="AF49" s="239">
        <f t="shared" si="11"/>
        <v>0</v>
      </c>
      <c r="AG49" s="228"/>
      <c r="AH49" s="250"/>
      <c r="AI49" s="242"/>
      <c r="AJ49" s="241" t="str">
        <f t="shared" si="22"/>
        <v>Hayır</v>
      </c>
      <c r="AK49" s="313"/>
      <c r="AL49" s="314"/>
      <c r="AM49" s="315"/>
      <c r="AN49" s="316"/>
      <c r="AO49" s="317"/>
      <c r="AP49" s="317"/>
      <c r="AQ49" s="329"/>
      <c r="AR49" s="330"/>
      <c r="AS49" s="320"/>
      <c r="AT49" s="321"/>
      <c r="AU49" s="320"/>
      <c r="AV49" s="320"/>
      <c r="AW49" s="130"/>
      <c r="AX49" s="130"/>
      <c r="AY49" s="242"/>
      <c r="AZ49" s="220"/>
      <c r="BA49" s="38">
        <f>ROUND(IF(AX49="Evet",100*Katsayılar!$I$28,0),2)</f>
        <v>0</v>
      </c>
      <c r="BB49" s="38">
        <f t="shared" si="13"/>
        <v>0</v>
      </c>
      <c r="BC49" s="130"/>
    </row>
    <row r="50" spans="2:55" ht="16.5">
      <c r="B50" s="226">
        <f t="shared" si="1"/>
        <v>0</v>
      </c>
      <c r="C50" s="227" t="str">
        <f t="shared" si="0"/>
        <v> </v>
      </c>
      <c r="D50" s="328"/>
      <c r="E50" s="328"/>
      <c r="F50" s="228"/>
      <c r="G50" s="228"/>
      <c r="H50" s="228"/>
      <c r="I50" s="251"/>
      <c r="J50" s="228"/>
      <c r="K50" s="231"/>
      <c r="L50" s="232"/>
      <c r="M50" s="233">
        <f t="shared" si="2"/>
        <v>0</v>
      </c>
      <c r="N50" s="302"/>
      <c r="O50" s="302"/>
      <c r="P50" s="326"/>
      <c r="Q50" s="326"/>
      <c r="R50" s="303"/>
      <c r="S50" s="304"/>
      <c r="T50" s="308"/>
      <c r="U50" s="234">
        <f t="shared" si="14"/>
        <v>0</v>
      </c>
      <c r="V50" s="235">
        <f t="shared" si="15"/>
        <v>0</v>
      </c>
      <c r="W50" s="309"/>
      <c r="X50" s="234">
        <f t="shared" si="16"/>
        <v>0</v>
      </c>
      <c r="Y50" s="236">
        <f t="shared" si="17"/>
        <v>0</v>
      </c>
      <c r="Z50" s="310"/>
      <c r="AA50" s="234">
        <f t="shared" si="18"/>
        <v>0</v>
      </c>
      <c r="AB50" s="237">
        <f t="shared" si="19"/>
        <v>0</v>
      </c>
      <c r="AC50" s="311"/>
      <c r="AD50" s="234">
        <f t="shared" si="20"/>
        <v>0</v>
      </c>
      <c r="AE50" s="238">
        <f t="shared" si="21"/>
        <v>0</v>
      </c>
      <c r="AF50" s="239">
        <f t="shared" si="11"/>
        <v>0</v>
      </c>
      <c r="AG50" s="228"/>
      <c r="AH50" s="250"/>
      <c r="AI50" s="257"/>
      <c r="AJ50" s="241" t="str">
        <f t="shared" si="22"/>
        <v>Hayır</v>
      </c>
      <c r="AK50" s="318"/>
      <c r="AL50" s="314"/>
      <c r="AM50" s="315"/>
      <c r="AN50" s="316"/>
      <c r="AO50" s="317"/>
      <c r="AP50" s="317"/>
      <c r="AQ50" s="329"/>
      <c r="AR50" s="330"/>
      <c r="AS50" s="320"/>
      <c r="AT50" s="321"/>
      <c r="AU50" s="320"/>
      <c r="AV50" s="320"/>
      <c r="AW50" s="130"/>
      <c r="AX50" s="130"/>
      <c r="AY50" s="242"/>
      <c r="AZ50" s="220"/>
      <c r="BA50" s="38">
        <f>ROUND(IF(AX50="Evet",100*Katsayılar!$I$28,0),2)</f>
        <v>0</v>
      </c>
      <c r="BB50" s="38">
        <f t="shared" si="13"/>
        <v>0</v>
      </c>
      <c r="BC50" s="130"/>
    </row>
  </sheetData>
  <sheetProtection password="C620" sheet="1"/>
  <autoFilter ref="B2:AZ50"/>
  <mergeCells count="55">
    <mergeCell ref="T3:V3"/>
    <mergeCell ref="W3:Y3"/>
    <mergeCell ref="Z3:AB3"/>
    <mergeCell ref="AC3:AE3"/>
    <mergeCell ref="AF3:AF5"/>
    <mergeCell ref="AW3:AX3"/>
    <mergeCell ref="V4:V5"/>
    <mergeCell ref="W4:W5"/>
    <mergeCell ref="X4:X5"/>
    <mergeCell ref="Y4:Y5"/>
    <mergeCell ref="B4:B5"/>
    <mergeCell ref="C4:C5"/>
    <mergeCell ref="D4:D5"/>
    <mergeCell ref="E4:E5"/>
    <mergeCell ref="F4:F5"/>
    <mergeCell ref="G4:G5"/>
    <mergeCell ref="H4:H5"/>
    <mergeCell ref="I4:I5"/>
    <mergeCell ref="J4:J5"/>
    <mergeCell ref="K4:K5"/>
    <mergeCell ref="L4:L5"/>
    <mergeCell ref="M4:M5"/>
    <mergeCell ref="N4:N5"/>
    <mergeCell ref="P4:P5"/>
    <mergeCell ref="R4:R5"/>
    <mergeCell ref="S4:S5"/>
    <mergeCell ref="T4:T5"/>
    <mergeCell ref="U4:U5"/>
    <mergeCell ref="Q4:Q5"/>
    <mergeCell ref="O4:O5"/>
    <mergeCell ref="Z4:Z5"/>
    <mergeCell ref="AA4:AA5"/>
    <mergeCell ref="AB4:AB5"/>
    <mergeCell ref="AC4:AC5"/>
    <mergeCell ref="AD4:AD5"/>
    <mergeCell ref="AE4:AE5"/>
    <mergeCell ref="AJ4:AJ5"/>
    <mergeCell ref="AK4:AK5"/>
    <mergeCell ref="AL4:AL5"/>
    <mergeCell ref="AM4:AM5"/>
    <mergeCell ref="AN4:AN5"/>
    <mergeCell ref="AO4:AO5"/>
    <mergeCell ref="AP4:AP5"/>
    <mergeCell ref="AQ4:AQ5"/>
    <mergeCell ref="AR4:AR5"/>
    <mergeCell ref="AS4:AS5"/>
    <mergeCell ref="AT4:AT5"/>
    <mergeCell ref="AU4:AU5"/>
    <mergeCell ref="BA4:BA5"/>
    <mergeCell ref="BB4:BB5"/>
    <mergeCell ref="AV4:AV5"/>
    <mergeCell ref="AW4:AW5"/>
    <mergeCell ref="AX4:AX5"/>
    <mergeCell ref="AY4:AY5"/>
    <mergeCell ref="AZ4:AZ5"/>
  </mergeCells>
  <conditionalFormatting sqref="AK20:AK24">
    <cfRule type="cellIs" priority="40" dxfId="0" operator="equal" stopIfTrue="1">
      <formula>"EVET"</formula>
    </cfRule>
  </conditionalFormatting>
  <conditionalFormatting sqref="L10">
    <cfRule type="notContainsText" priority="33" dxfId="12" operator="notContains" stopIfTrue="1" text="001580">
      <formula>ISERROR(SEARCH("001580",L10))</formula>
    </cfRule>
    <cfRule type="duplicateValues" priority="34" dxfId="4" stopIfTrue="1">
      <formula>AND(COUNTIF($L$10:$L$10,L10)&gt;1,NOT(ISBLANK(L10)))</formula>
    </cfRule>
  </conditionalFormatting>
  <conditionalFormatting sqref="L9">
    <cfRule type="notContainsText" priority="31" dxfId="12" operator="notContains" stopIfTrue="1" text="001580">
      <formula>ISERROR(SEARCH("001580",L9))</formula>
    </cfRule>
    <cfRule type="duplicateValues" priority="32" dxfId="4" stopIfTrue="1">
      <formula>AND(COUNTIF($L$9:$L$9,L9)&gt;1,NOT(ISBLANK(L9)))</formula>
    </cfRule>
  </conditionalFormatting>
  <conditionalFormatting sqref="AK25:AK49">
    <cfRule type="cellIs" priority="24" dxfId="0" operator="equal" stopIfTrue="1">
      <formula>"EVET"</formula>
    </cfRule>
  </conditionalFormatting>
  <conditionalFormatting sqref="AK50">
    <cfRule type="cellIs" priority="18" dxfId="0" operator="equal" stopIfTrue="1">
      <formula>"EVET"</formula>
    </cfRule>
  </conditionalFormatting>
  <conditionalFormatting sqref="AI50">
    <cfRule type="duplicateValues" priority="17" dxfId="4" stopIfTrue="1">
      <formula>AND(COUNTIF($AI$50:$AI$50,AI50)&gt;1,NOT(ISBLANK(AI50)))</formula>
    </cfRule>
  </conditionalFormatting>
  <conditionalFormatting sqref="AJ20:AJ50">
    <cfRule type="cellIs" priority="16" dxfId="0" operator="equal" stopIfTrue="1">
      <formula>"EVET"</formula>
    </cfRule>
  </conditionalFormatting>
  <conditionalFormatting sqref="L6:L8">
    <cfRule type="notContainsText" priority="14" dxfId="12" operator="notContains" stopIfTrue="1" text="001580">
      <formula>ISERROR(SEARCH("001580",L6))</formula>
    </cfRule>
    <cfRule type="duplicateValues" priority="15" dxfId="4" stopIfTrue="1">
      <formula>AND(COUNTIF($L$6:$L$8,L6)&gt;1,NOT(ISBLANK(L6)))</formula>
    </cfRule>
  </conditionalFormatting>
  <conditionalFormatting sqref="AI6:AI10">
    <cfRule type="duplicateValues" priority="13" dxfId="4" stopIfTrue="1">
      <formula>AND(COUNTIF($AI$6:$AI$10,AI6)&gt;1,NOT(ISBLANK(AI6)))</formula>
    </cfRule>
  </conditionalFormatting>
  <conditionalFormatting sqref="AI11">
    <cfRule type="duplicateValues" priority="12" dxfId="4" stopIfTrue="1">
      <formula>AND(COUNTIF($AI$11:$AI$11,AI11)&gt;1,NOT(ISBLANK(AI11)))</formula>
    </cfRule>
  </conditionalFormatting>
  <conditionalFormatting sqref="AI12">
    <cfRule type="duplicateValues" priority="11" dxfId="4" stopIfTrue="1">
      <formula>AND(COUNTIF($AI$12:$AI$12,AI12)&gt;1,NOT(ISBLANK(AI12)))</formula>
    </cfRule>
  </conditionalFormatting>
  <conditionalFormatting sqref="AI13:AI15">
    <cfRule type="duplicateValues" priority="10" dxfId="4" stopIfTrue="1">
      <formula>AND(COUNTIF($AI$13:$AI$15,AI13)&gt;1,NOT(ISBLANK(AI13)))</formula>
    </cfRule>
  </conditionalFormatting>
  <conditionalFormatting sqref="AI17:AI18">
    <cfRule type="duplicateValues" priority="9" dxfId="4" stopIfTrue="1">
      <formula>AND(COUNTIF($AI$17:$AI$18,AI17)&gt;1,NOT(ISBLANK(AI17)))</formula>
    </cfRule>
  </conditionalFormatting>
  <conditionalFormatting sqref="AI19">
    <cfRule type="duplicateValues" priority="8" dxfId="4" stopIfTrue="1">
      <formula>AND(COUNTIF($AI$19:$AI$19,AI19)&gt;1,NOT(ISBLANK(AI19)))</formula>
    </cfRule>
  </conditionalFormatting>
  <conditionalFormatting sqref="AI16">
    <cfRule type="duplicateValues" priority="7" dxfId="4" stopIfTrue="1">
      <formula>AND(COUNTIF($AI$16:$AI$16,AI16)&gt;1,NOT(ISBLANK(AI16)))</formula>
    </cfRule>
  </conditionalFormatting>
  <conditionalFormatting sqref="AJ6">
    <cfRule type="cellIs" priority="4" dxfId="0" operator="equal" stopIfTrue="1">
      <formula>"EVET"</formula>
    </cfRule>
  </conditionalFormatting>
  <conditionalFormatting sqref="AJ7:AJ19">
    <cfRule type="cellIs" priority="3" dxfId="0" operator="equal" stopIfTrue="1">
      <formula>"EVET"</formula>
    </cfRule>
  </conditionalFormatting>
  <conditionalFormatting sqref="AK6:AK19">
    <cfRule type="cellIs" priority="2" dxfId="0" operator="equal" stopIfTrue="1">
      <formula>"EVET"</formula>
    </cfRule>
  </conditionalFormatting>
  <conditionalFormatting sqref="AK19">
    <cfRule type="cellIs" priority="1" dxfId="0" operator="equal" stopIfTrue="1">
      <formula>"EVET"</formula>
    </cfRule>
  </conditionalFormatting>
  <dataValidations count="2">
    <dataValidation type="list" allowBlank="1" showInputMessage="1" showErrorMessage="1" sqref="R20:R50">
      <formula1>$BO$6:$BO$9</formula1>
    </dataValidation>
    <dataValidation type="list" allowBlank="1" showInputMessage="1" showErrorMessage="1" sqref="R6:R19">
      <formula1>$BN$6:$BN$9</formula1>
    </dataValidation>
  </dataValidations>
  <printOptions/>
  <pageMargins left="0.75" right="0.75" top="1" bottom="1" header="0.5" footer="0.5"/>
  <pageSetup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codeName="Sayfa2"/>
  <dimension ref="B4:J29"/>
  <sheetViews>
    <sheetView showGridLines="0" zoomScalePageLayoutView="0" workbookViewId="0" topLeftCell="A1">
      <selection activeCell="I5" sqref="I5"/>
    </sheetView>
  </sheetViews>
  <sheetFormatPr defaultColWidth="9.140625" defaultRowHeight="12.75"/>
  <cols>
    <col min="1" max="1" width="9.140625" style="61" customWidth="1"/>
    <col min="2" max="2" width="33.57421875" style="61" bestFit="1" customWidth="1"/>
    <col min="3" max="3" width="8.00390625" style="61" bestFit="1" customWidth="1"/>
    <col min="4" max="4" width="3.00390625" style="61" bestFit="1" customWidth="1"/>
    <col min="5" max="5" width="47.00390625" style="61" bestFit="1" customWidth="1"/>
    <col min="6" max="6" width="7.00390625" style="61" bestFit="1" customWidth="1"/>
    <col min="7" max="7" width="7.421875" style="61" customWidth="1"/>
    <col min="8" max="8" width="5.140625" style="61" customWidth="1"/>
    <col min="9" max="9" width="10.00390625" style="61" customWidth="1"/>
    <col min="10" max="10" width="5.8515625" style="61" customWidth="1"/>
    <col min="11" max="16384" width="9.140625" style="61" customWidth="1"/>
  </cols>
  <sheetData>
    <row r="4" spans="2:6" ht="12.75">
      <c r="B4" s="259" t="s">
        <v>117</v>
      </c>
      <c r="C4" s="259" t="s">
        <v>118</v>
      </c>
      <c r="E4" s="483" t="s">
        <v>44</v>
      </c>
      <c r="F4" s="483"/>
    </row>
    <row r="5" spans="2:7" ht="24.75" customHeight="1">
      <c r="B5" s="260" t="s">
        <v>119</v>
      </c>
      <c r="C5" s="260">
        <v>0.00759</v>
      </c>
      <c r="E5" s="261" t="s">
        <v>122</v>
      </c>
      <c r="F5" s="291">
        <v>59.25</v>
      </c>
      <c r="G5" s="223" t="s">
        <v>253</v>
      </c>
    </row>
    <row r="6" spans="2:6" ht="24.75" customHeight="1">
      <c r="B6" s="263" t="s">
        <v>120</v>
      </c>
      <c r="C6" s="263">
        <v>0.15</v>
      </c>
      <c r="E6" s="261" t="s">
        <v>124</v>
      </c>
      <c r="F6" s="262">
        <f>F5*7.5</f>
        <v>444.375</v>
      </c>
    </row>
    <row r="7" spans="2:3" ht="24.75" customHeight="1">
      <c r="B7" s="264" t="s">
        <v>121</v>
      </c>
      <c r="C7" s="265">
        <v>0.5</v>
      </c>
    </row>
    <row r="8" spans="2:6" ht="24.75" customHeight="1">
      <c r="B8" s="266" t="s">
        <v>123</v>
      </c>
      <c r="C8" s="267">
        <v>0.1</v>
      </c>
      <c r="E8" s="268" t="s">
        <v>169</v>
      </c>
      <c r="F8" s="269">
        <f>ROUND(750*I28,2)</f>
        <v>77.03</v>
      </c>
    </row>
    <row r="9" spans="2:6" ht="24.75" customHeight="1">
      <c r="B9" s="270" t="s">
        <v>125</v>
      </c>
      <c r="C9" s="270">
        <v>0.75</v>
      </c>
      <c r="E9" s="271" t="s">
        <v>182</v>
      </c>
      <c r="F9" s="292">
        <v>0.005</v>
      </c>
    </row>
    <row r="10" spans="2:3" ht="24.75" customHeight="1">
      <c r="B10" s="270" t="s">
        <v>126</v>
      </c>
      <c r="C10" s="270">
        <v>0.75</v>
      </c>
    </row>
    <row r="11" spans="2:6" ht="24.75" customHeight="1">
      <c r="B11" s="270" t="s">
        <v>127</v>
      </c>
      <c r="C11" s="272">
        <v>0.1</v>
      </c>
      <c r="E11" s="273" t="s">
        <v>45</v>
      </c>
      <c r="F11" s="273"/>
    </row>
    <row r="12" spans="2:6" ht="24.75" customHeight="1">
      <c r="B12" s="270" t="s">
        <v>128</v>
      </c>
      <c r="C12" s="270">
        <v>0.05</v>
      </c>
      <c r="E12" s="274" t="s">
        <v>249</v>
      </c>
      <c r="F12" s="275">
        <v>297</v>
      </c>
    </row>
    <row r="13" spans="2:6" ht="24.75" customHeight="1">
      <c r="B13" s="270" t="s">
        <v>129</v>
      </c>
      <c r="C13" s="270">
        <v>0.05</v>
      </c>
      <c r="E13" s="274"/>
      <c r="F13" s="275"/>
    </row>
    <row r="14" spans="5:6" ht="24.75" customHeight="1">
      <c r="E14" s="274" t="s">
        <v>114</v>
      </c>
      <c r="F14" s="275">
        <v>2533</v>
      </c>
    </row>
    <row r="15" spans="2:3" ht="26.25" customHeight="1">
      <c r="B15" s="493"/>
      <c r="C15" s="494"/>
    </row>
    <row r="16" spans="2:7" ht="24.75" customHeight="1">
      <c r="B16" s="38" t="s">
        <v>130</v>
      </c>
      <c r="C16" s="293">
        <v>900</v>
      </c>
      <c r="D16" s="61" t="s">
        <v>131</v>
      </c>
      <c r="E16" s="61" t="s">
        <v>46</v>
      </c>
      <c r="G16" s="276"/>
    </row>
    <row r="17" spans="2:7" ht="24.75" customHeight="1">
      <c r="B17" s="38" t="s">
        <v>132</v>
      </c>
      <c r="C17" s="293">
        <v>470</v>
      </c>
      <c r="D17" s="61" t="s">
        <v>131</v>
      </c>
      <c r="E17" s="277" t="s">
        <v>258</v>
      </c>
      <c r="F17" s="278">
        <v>3</v>
      </c>
      <c r="G17" s="276"/>
    </row>
    <row r="18" spans="2:6" ht="24.75" customHeight="1">
      <c r="B18" s="38" t="s">
        <v>133</v>
      </c>
      <c r="C18" s="293">
        <v>210</v>
      </c>
      <c r="D18" s="61" t="s">
        <v>131</v>
      </c>
      <c r="E18" s="279" t="s">
        <v>229</v>
      </c>
      <c r="F18" s="280">
        <v>11</v>
      </c>
    </row>
    <row r="19" spans="2:6" ht="24.75" customHeight="1">
      <c r="B19" s="281"/>
      <c r="C19" s="282"/>
      <c r="E19" s="279" t="s">
        <v>230</v>
      </c>
      <c r="F19" s="280">
        <v>9</v>
      </c>
    </row>
    <row r="20" spans="2:6" ht="36" customHeight="1">
      <c r="B20" s="268" t="s">
        <v>254</v>
      </c>
      <c r="C20" s="283" t="s">
        <v>134</v>
      </c>
      <c r="E20" s="284" t="s">
        <v>231</v>
      </c>
      <c r="F20" s="285">
        <v>7.5</v>
      </c>
    </row>
    <row r="21" spans="2:6" ht="24.75" customHeight="1">
      <c r="B21" s="291">
        <v>13000</v>
      </c>
      <c r="C21" s="220">
        <v>15</v>
      </c>
      <c r="E21" s="284" t="s">
        <v>232</v>
      </c>
      <c r="F21" s="285">
        <v>5</v>
      </c>
    </row>
    <row r="22" spans="2:6" ht="24.75" customHeight="1">
      <c r="B22" s="291">
        <v>30000</v>
      </c>
      <c r="C22" s="220">
        <v>20</v>
      </c>
      <c r="E22" s="270" t="s">
        <v>236</v>
      </c>
      <c r="F22" s="286">
        <v>2</v>
      </c>
    </row>
    <row r="23" spans="5:6" ht="12.75">
      <c r="E23" s="270"/>
      <c r="F23" s="270"/>
    </row>
    <row r="25" spans="2:10" ht="14.25">
      <c r="B25" s="492"/>
      <c r="C25" s="492"/>
      <c r="D25" s="492"/>
      <c r="E25" s="492"/>
      <c r="F25" s="492"/>
      <c r="G25" s="492"/>
      <c r="H25" s="492"/>
      <c r="I25" s="492"/>
      <c r="J25" s="492"/>
    </row>
    <row r="27" spans="2:10" ht="12.75">
      <c r="B27" s="287"/>
      <c r="C27" s="486" t="s">
        <v>156</v>
      </c>
      <c r="D27" s="486"/>
      <c r="E27" s="486"/>
      <c r="F27" s="487" t="s">
        <v>157</v>
      </c>
      <c r="G27" s="487"/>
      <c r="H27" s="487"/>
      <c r="I27" s="484" t="s">
        <v>158</v>
      </c>
      <c r="J27" s="484"/>
    </row>
    <row r="28" spans="2:10" ht="15.75">
      <c r="B28" s="288" t="s">
        <v>112</v>
      </c>
      <c r="C28" s="489">
        <v>0.102706</v>
      </c>
      <c r="D28" s="490"/>
      <c r="E28" s="491"/>
      <c r="F28" s="488"/>
      <c r="G28" s="488"/>
      <c r="H28" s="488"/>
      <c r="I28" s="485">
        <f>C28-F28</f>
        <v>0.102706</v>
      </c>
      <c r="J28" s="485"/>
    </row>
    <row r="29" spans="4:10" ht="12.75">
      <c r="D29" s="289"/>
      <c r="E29" s="289"/>
      <c r="F29" s="289"/>
      <c r="J29" s="290"/>
    </row>
  </sheetData>
  <sheetProtection password="C620" sheet="1"/>
  <mergeCells count="9">
    <mergeCell ref="E4:F4"/>
    <mergeCell ref="I27:J27"/>
    <mergeCell ref="I28:J28"/>
    <mergeCell ref="C27:E27"/>
    <mergeCell ref="F27:H27"/>
    <mergeCell ref="F28:H28"/>
    <mergeCell ref="C28:E28"/>
    <mergeCell ref="B25:J25"/>
    <mergeCell ref="B15:C1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ayfa1"/>
  <dimension ref="B2:AC18"/>
  <sheetViews>
    <sheetView showGridLines="0" showZeros="0" zoomScalePageLayoutView="0" workbookViewId="0" topLeftCell="A1">
      <selection activeCell="A5" sqref="A5"/>
    </sheetView>
  </sheetViews>
  <sheetFormatPr defaultColWidth="9.140625" defaultRowHeight="12.75"/>
  <cols>
    <col min="2" max="2" width="20.28125" style="0" bestFit="1" customWidth="1"/>
    <col min="3" max="3" width="6.140625" style="0" bestFit="1" customWidth="1"/>
    <col min="4" max="4" width="6.421875" style="0" bestFit="1" customWidth="1"/>
    <col min="15" max="15" width="20.28125" style="0" bestFit="1" customWidth="1"/>
    <col min="16" max="16" width="16.421875" style="0" customWidth="1"/>
    <col min="17" max="17" width="9.00390625" style="0" bestFit="1" customWidth="1"/>
  </cols>
  <sheetData>
    <row r="2" spans="15:22" ht="24" customHeight="1">
      <c r="O2" s="496" t="s">
        <v>135</v>
      </c>
      <c r="P2" s="496" t="s">
        <v>275</v>
      </c>
      <c r="Q2" s="502" t="s">
        <v>44</v>
      </c>
      <c r="R2" s="495" t="s">
        <v>272</v>
      </c>
      <c r="S2" s="495" t="s">
        <v>266</v>
      </c>
      <c r="T2" s="495" t="s">
        <v>273</v>
      </c>
      <c r="U2" s="209" t="s">
        <v>274</v>
      </c>
      <c r="V2" s="495" t="s">
        <v>252</v>
      </c>
    </row>
    <row r="3" spans="2:29" ht="78.75" customHeight="1">
      <c r="B3" s="499">
        <v>2017</v>
      </c>
      <c r="C3" s="498" t="s">
        <v>201</v>
      </c>
      <c r="D3" s="500" t="s">
        <v>264</v>
      </c>
      <c r="E3" s="206" t="s">
        <v>44</v>
      </c>
      <c r="F3" s="206" t="s">
        <v>265</v>
      </c>
      <c r="G3" s="206" t="s">
        <v>266</v>
      </c>
      <c r="H3" s="206" t="s">
        <v>267</v>
      </c>
      <c r="I3" s="206" t="s">
        <v>268</v>
      </c>
      <c r="J3" s="206" t="s">
        <v>269</v>
      </c>
      <c r="K3" s="206" t="s">
        <v>270</v>
      </c>
      <c r="L3" s="206" t="s">
        <v>271</v>
      </c>
      <c r="M3" s="206" t="s">
        <v>252</v>
      </c>
      <c r="O3" s="497"/>
      <c r="P3" s="497"/>
      <c r="Q3" s="503"/>
      <c r="R3" s="495"/>
      <c r="S3" s="495"/>
      <c r="T3" s="495"/>
      <c r="U3" s="213" t="s">
        <v>269</v>
      </c>
      <c r="V3" s="495"/>
      <c r="AC3" s="209" t="s">
        <v>223</v>
      </c>
    </row>
    <row r="4" spans="2:29" ht="12.75" customHeight="1">
      <c r="B4" s="499"/>
      <c r="C4" s="498"/>
      <c r="D4" s="501"/>
      <c r="E4" s="296">
        <f>+Katsayılar!F5</f>
        <v>59.25</v>
      </c>
      <c r="F4" s="297">
        <f>+Katsayılar!F12</f>
        <v>297</v>
      </c>
      <c r="G4" s="207">
        <f>IF('Bilgi Girişi'!D6="Normal Dönem",+Katsayılar!C28,IF('Bilgi Girişi'!D6="Fark",Katsayılar!I28,IF('Bilgi Girişi'!D6="Kıst Dönem",Katsayılar!C28,0)))</f>
        <v>0.102706</v>
      </c>
      <c r="H4" s="207"/>
      <c r="I4" s="207"/>
      <c r="J4" s="208">
        <v>0.04</v>
      </c>
      <c r="K4" s="208"/>
      <c r="L4" s="207"/>
      <c r="M4" s="207"/>
      <c r="O4" s="497"/>
      <c r="P4" s="497"/>
      <c r="Q4" s="211">
        <f>+E4</f>
        <v>59.25</v>
      </c>
      <c r="R4" s="295">
        <f>+Katsayılar!F14</f>
        <v>2533</v>
      </c>
      <c r="S4" s="212">
        <f>+G4</f>
        <v>0.102706</v>
      </c>
      <c r="T4" s="209"/>
      <c r="U4" s="214"/>
      <c r="V4" s="210"/>
      <c r="AC4" s="209" t="s">
        <v>152</v>
      </c>
    </row>
    <row r="5" spans="2:22" ht="12.75">
      <c r="B5" s="130" t="str">
        <f>+'Personel Listesi'!C6</f>
        <v>ÖRNEK KİŞİ</v>
      </c>
      <c r="C5" s="294">
        <f>+'Personel Listesi'!S6</f>
        <v>3</v>
      </c>
      <c r="D5" s="2">
        <f aca="true" t="shared" si="0" ref="D5:D18">IF(C5&gt;2,2,C5)</f>
        <v>2</v>
      </c>
      <c r="E5" s="3">
        <f>IF(C5&lt;=0,0,$E$4*30)</f>
        <v>1777.5</v>
      </c>
      <c r="F5" s="1">
        <f>IF(C5&lt;=0,0,+$F$4)</f>
        <v>297</v>
      </c>
      <c r="G5" s="1">
        <f>IF(B5&lt;=0,0,0+$G$4)</f>
        <v>0.102706</v>
      </c>
      <c r="H5" s="1">
        <f>ROUND(C5*(F5*G5),2)</f>
        <v>91.51</v>
      </c>
      <c r="I5" s="3">
        <f>ROUND(D5*(F5*G5),2)</f>
        <v>61.01</v>
      </c>
      <c r="J5" s="1">
        <f>ROUND(((E5*0.04)*D5),2)</f>
        <v>142.2</v>
      </c>
      <c r="K5" s="3">
        <f>H5-I5</f>
        <v>30.500000000000007</v>
      </c>
      <c r="L5" s="1">
        <f>IF(I5&lt;J5,0,I5-J5)</f>
        <v>0</v>
      </c>
      <c r="M5" s="3">
        <f>K5+L5</f>
        <v>30.500000000000007</v>
      </c>
      <c r="O5" s="1" t="str">
        <f>+B5</f>
        <v>ÖRNEK KİŞİ</v>
      </c>
      <c r="P5" s="209" t="s">
        <v>223</v>
      </c>
      <c r="Q5" s="3">
        <f>IF(P5="",0,$Q$4*30)</f>
        <v>1777.5</v>
      </c>
      <c r="R5" s="1">
        <f>IF(P5="",0,+$R$4)</f>
        <v>2533</v>
      </c>
      <c r="S5" s="1">
        <f>IF(P5="",0,+$S$4)</f>
        <v>0.102706</v>
      </c>
      <c r="T5" s="1">
        <f>ROUND(IF(P5="Evli Eşi Çalışmıyor",(R5*S5),0),2)</f>
        <v>260.15</v>
      </c>
      <c r="U5" s="1">
        <f>ROUND(IF(T5&lt;=0,0,Q5*0.2),2)</f>
        <v>355.5</v>
      </c>
      <c r="V5" s="1">
        <f>IF(T5&gt;U5,T5-U5,0)</f>
        <v>0</v>
      </c>
    </row>
    <row r="6" spans="2:22" ht="12.75">
      <c r="B6" s="130" t="str">
        <f>+'Personel Listesi'!C7</f>
        <v> </v>
      </c>
      <c r="C6" s="294">
        <f>+'Personel Listesi'!S7</f>
        <v>0</v>
      </c>
      <c r="D6" s="2">
        <f t="shared" si="0"/>
        <v>0</v>
      </c>
      <c r="E6" s="3">
        <f aca="true" t="shared" si="1" ref="E6:E18">IF(C6&lt;=0,0,$E$4*30)</f>
        <v>0</v>
      </c>
      <c r="F6" s="1">
        <f aca="true" t="shared" si="2" ref="F6:F18">IF(C6&lt;=0,0,+$F$4)</f>
        <v>0</v>
      </c>
      <c r="G6" s="1">
        <f aca="true" t="shared" si="3" ref="G6:G18">IF(B6&lt;=0,0,0+$G$4)</f>
        <v>0.102706</v>
      </c>
      <c r="H6" s="1">
        <f aca="true" t="shared" si="4" ref="H6:H18">ROUND(C6*(F6*G6),2)</f>
        <v>0</v>
      </c>
      <c r="I6" s="3">
        <f aca="true" t="shared" si="5" ref="I6:I18">ROUND(D6*(F6*G6),2)</f>
        <v>0</v>
      </c>
      <c r="J6" s="1">
        <f aca="true" t="shared" si="6" ref="J6:J18">ROUND(((E6*0.04)*D6),2)</f>
        <v>0</v>
      </c>
      <c r="K6" s="3">
        <f>H6-I6</f>
        <v>0</v>
      </c>
      <c r="L6" s="1">
        <f aca="true" t="shared" si="7" ref="L6:L18">IF(I6&lt;J6,0,I6-J6)</f>
        <v>0</v>
      </c>
      <c r="M6" s="3">
        <f>K6+L6</f>
        <v>0</v>
      </c>
      <c r="O6" s="1" t="str">
        <f aca="true" t="shared" si="8" ref="O6:O18">+B6</f>
        <v> </v>
      </c>
      <c r="P6" s="209"/>
      <c r="Q6" s="3">
        <f aca="true" t="shared" si="9" ref="Q6:Q18">IF(P6="",0,$Q$4*30)</f>
        <v>0</v>
      </c>
      <c r="R6" s="1">
        <f aca="true" t="shared" si="10" ref="R6:R18">IF(P6="",0,+$R$4)</f>
        <v>0</v>
      </c>
      <c r="S6" s="1">
        <f aca="true" t="shared" si="11" ref="S6:S18">IF(P6="",0,+$S$4)</f>
        <v>0</v>
      </c>
      <c r="T6" s="1">
        <f aca="true" t="shared" si="12" ref="T6:T18">ROUND(IF(P6="Evli Eşi Çalışmıyor",(R6*S6),0),2)</f>
        <v>0</v>
      </c>
      <c r="U6" s="1">
        <f aca="true" t="shared" si="13" ref="U6:U18">ROUND(IF(T6&lt;=0,0,Q6*0.2),2)</f>
        <v>0</v>
      </c>
      <c r="V6" s="1">
        <f aca="true" t="shared" si="14" ref="V6:V18">IF(T6&gt;U6,T6-U6,0)</f>
        <v>0</v>
      </c>
    </row>
    <row r="7" spans="2:22" ht="12.75">
      <c r="B7" s="130" t="str">
        <f>+'Personel Listesi'!C8</f>
        <v> </v>
      </c>
      <c r="C7" s="294">
        <f>+'Personel Listesi'!S8</f>
        <v>0</v>
      </c>
      <c r="D7" s="2">
        <f t="shared" si="0"/>
        <v>0</v>
      </c>
      <c r="E7" s="3">
        <f t="shared" si="1"/>
        <v>0</v>
      </c>
      <c r="F7" s="1">
        <f t="shared" si="2"/>
        <v>0</v>
      </c>
      <c r="G7" s="1">
        <f t="shared" si="3"/>
        <v>0.102706</v>
      </c>
      <c r="H7" s="1">
        <f t="shared" si="4"/>
        <v>0</v>
      </c>
      <c r="I7" s="3">
        <f t="shared" si="5"/>
        <v>0</v>
      </c>
      <c r="J7" s="1">
        <f t="shared" si="6"/>
        <v>0</v>
      </c>
      <c r="K7" s="3">
        <f aca="true" t="shared" si="15" ref="K7:K18">H7-I7</f>
        <v>0</v>
      </c>
      <c r="L7" s="1">
        <f t="shared" si="7"/>
        <v>0</v>
      </c>
      <c r="M7" s="3">
        <f>K7+L7</f>
        <v>0</v>
      </c>
      <c r="O7" s="1" t="str">
        <f t="shared" si="8"/>
        <v> </v>
      </c>
      <c r="P7" s="209"/>
      <c r="Q7" s="3">
        <f t="shared" si="9"/>
        <v>0</v>
      </c>
      <c r="R7" s="1">
        <f t="shared" si="10"/>
        <v>0</v>
      </c>
      <c r="S7" s="1">
        <f t="shared" si="11"/>
        <v>0</v>
      </c>
      <c r="T7" s="1">
        <f t="shared" si="12"/>
        <v>0</v>
      </c>
      <c r="U7" s="1">
        <f t="shared" si="13"/>
        <v>0</v>
      </c>
      <c r="V7" s="1">
        <f t="shared" si="14"/>
        <v>0</v>
      </c>
    </row>
    <row r="8" spans="2:22" ht="12.75">
      <c r="B8" s="130" t="str">
        <f>+'Personel Listesi'!C9</f>
        <v> </v>
      </c>
      <c r="C8" s="294">
        <f>+'Personel Listesi'!S9</f>
        <v>0</v>
      </c>
      <c r="D8" s="2">
        <f t="shared" si="0"/>
        <v>0</v>
      </c>
      <c r="E8" s="3">
        <f t="shared" si="1"/>
        <v>0</v>
      </c>
      <c r="F8" s="1">
        <f t="shared" si="2"/>
        <v>0</v>
      </c>
      <c r="G8" s="1">
        <f t="shared" si="3"/>
        <v>0.102706</v>
      </c>
      <c r="H8" s="1">
        <f t="shared" si="4"/>
        <v>0</v>
      </c>
      <c r="I8" s="3">
        <f t="shared" si="5"/>
        <v>0</v>
      </c>
      <c r="J8" s="1">
        <f t="shared" si="6"/>
        <v>0</v>
      </c>
      <c r="K8" s="3">
        <f t="shared" si="15"/>
        <v>0</v>
      </c>
      <c r="L8" s="1">
        <f t="shared" si="7"/>
        <v>0</v>
      </c>
      <c r="M8" s="3">
        <f>K8+L8</f>
        <v>0</v>
      </c>
      <c r="O8" s="1" t="str">
        <f t="shared" si="8"/>
        <v> </v>
      </c>
      <c r="P8" s="209"/>
      <c r="Q8" s="3">
        <f t="shared" si="9"/>
        <v>0</v>
      </c>
      <c r="R8" s="1">
        <f t="shared" si="10"/>
        <v>0</v>
      </c>
      <c r="S8" s="1">
        <f t="shared" si="11"/>
        <v>0</v>
      </c>
      <c r="T8" s="1">
        <f t="shared" si="12"/>
        <v>0</v>
      </c>
      <c r="U8" s="1">
        <f t="shared" si="13"/>
        <v>0</v>
      </c>
      <c r="V8" s="1">
        <f t="shared" si="14"/>
        <v>0</v>
      </c>
    </row>
    <row r="9" spans="2:22" ht="12.75">
      <c r="B9" s="130" t="str">
        <f>+'Personel Listesi'!C10</f>
        <v> </v>
      </c>
      <c r="C9" s="294">
        <f>+'Personel Listesi'!S10</f>
        <v>0</v>
      </c>
      <c r="D9" s="2">
        <f t="shared" si="0"/>
        <v>0</v>
      </c>
      <c r="E9" s="3">
        <f t="shared" si="1"/>
        <v>0</v>
      </c>
      <c r="F9" s="1">
        <f t="shared" si="2"/>
        <v>0</v>
      </c>
      <c r="G9" s="1">
        <f t="shared" si="3"/>
        <v>0.102706</v>
      </c>
      <c r="H9" s="1">
        <f t="shared" si="4"/>
        <v>0</v>
      </c>
      <c r="I9" s="3">
        <f t="shared" si="5"/>
        <v>0</v>
      </c>
      <c r="J9" s="1">
        <f t="shared" si="6"/>
        <v>0</v>
      </c>
      <c r="K9" s="3">
        <f t="shared" si="15"/>
        <v>0</v>
      </c>
      <c r="L9" s="1">
        <f t="shared" si="7"/>
        <v>0</v>
      </c>
      <c r="M9" s="3">
        <f>K9+L9</f>
        <v>0</v>
      </c>
      <c r="O9" s="1" t="str">
        <f t="shared" si="8"/>
        <v> </v>
      </c>
      <c r="P9" s="209"/>
      <c r="Q9" s="3">
        <f t="shared" si="9"/>
        <v>0</v>
      </c>
      <c r="R9" s="1">
        <f t="shared" si="10"/>
        <v>0</v>
      </c>
      <c r="S9" s="1">
        <f t="shared" si="11"/>
        <v>0</v>
      </c>
      <c r="T9" s="1">
        <f t="shared" si="12"/>
        <v>0</v>
      </c>
      <c r="U9" s="1">
        <f t="shared" si="13"/>
        <v>0</v>
      </c>
      <c r="V9" s="1">
        <f t="shared" si="14"/>
        <v>0</v>
      </c>
    </row>
    <row r="10" spans="2:22" ht="12.75">
      <c r="B10" s="130" t="str">
        <f>+'Personel Listesi'!C11</f>
        <v> </v>
      </c>
      <c r="C10" s="294">
        <f>+'Personel Listesi'!S11</f>
        <v>0</v>
      </c>
      <c r="D10" s="2">
        <f t="shared" si="0"/>
        <v>0</v>
      </c>
      <c r="E10" s="3">
        <f t="shared" si="1"/>
        <v>0</v>
      </c>
      <c r="F10" s="1">
        <f t="shared" si="2"/>
        <v>0</v>
      </c>
      <c r="G10" s="1">
        <f t="shared" si="3"/>
        <v>0.102706</v>
      </c>
      <c r="H10" s="1">
        <f t="shared" si="4"/>
        <v>0</v>
      </c>
      <c r="I10" s="3">
        <f t="shared" si="5"/>
        <v>0</v>
      </c>
      <c r="J10" s="1">
        <f t="shared" si="6"/>
        <v>0</v>
      </c>
      <c r="K10" s="3">
        <f t="shared" si="15"/>
        <v>0</v>
      </c>
      <c r="L10" s="1">
        <f t="shared" si="7"/>
        <v>0</v>
      </c>
      <c r="M10" s="3">
        <f aca="true" t="shared" si="16" ref="M10:M18">K10+L10</f>
        <v>0</v>
      </c>
      <c r="O10" s="1" t="str">
        <f t="shared" si="8"/>
        <v> </v>
      </c>
      <c r="P10" s="209"/>
      <c r="Q10" s="3">
        <f t="shared" si="9"/>
        <v>0</v>
      </c>
      <c r="R10" s="1">
        <f t="shared" si="10"/>
        <v>0</v>
      </c>
      <c r="S10" s="1">
        <f t="shared" si="11"/>
        <v>0</v>
      </c>
      <c r="T10" s="1">
        <f t="shared" si="12"/>
        <v>0</v>
      </c>
      <c r="U10" s="1">
        <f t="shared" si="13"/>
        <v>0</v>
      </c>
      <c r="V10" s="1">
        <f t="shared" si="14"/>
        <v>0</v>
      </c>
    </row>
    <row r="11" spans="2:22" ht="12.75">
      <c r="B11" s="130" t="str">
        <f>+'Personel Listesi'!C12</f>
        <v> </v>
      </c>
      <c r="C11" s="294">
        <f>+'Personel Listesi'!S12</f>
        <v>0</v>
      </c>
      <c r="D11" s="2">
        <f t="shared" si="0"/>
        <v>0</v>
      </c>
      <c r="E11" s="3">
        <f t="shared" si="1"/>
        <v>0</v>
      </c>
      <c r="F11" s="1">
        <f t="shared" si="2"/>
        <v>0</v>
      </c>
      <c r="G11" s="1">
        <f t="shared" si="3"/>
        <v>0.102706</v>
      </c>
      <c r="H11" s="1">
        <f t="shared" si="4"/>
        <v>0</v>
      </c>
      <c r="I11" s="3">
        <f t="shared" si="5"/>
        <v>0</v>
      </c>
      <c r="J11" s="1">
        <f t="shared" si="6"/>
        <v>0</v>
      </c>
      <c r="K11" s="3">
        <f t="shared" si="15"/>
        <v>0</v>
      </c>
      <c r="L11" s="1">
        <f t="shared" si="7"/>
        <v>0</v>
      </c>
      <c r="M11" s="3">
        <f t="shared" si="16"/>
        <v>0</v>
      </c>
      <c r="O11" s="1" t="str">
        <f t="shared" si="8"/>
        <v> </v>
      </c>
      <c r="P11" s="209"/>
      <c r="Q11" s="3">
        <f t="shared" si="9"/>
        <v>0</v>
      </c>
      <c r="R11" s="1">
        <f t="shared" si="10"/>
        <v>0</v>
      </c>
      <c r="S11" s="1">
        <f t="shared" si="11"/>
        <v>0</v>
      </c>
      <c r="T11" s="1">
        <f t="shared" si="12"/>
        <v>0</v>
      </c>
      <c r="U11" s="1">
        <f t="shared" si="13"/>
        <v>0</v>
      </c>
      <c r="V11" s="1">
        <f t="shared" si="14"/>
        <v>0</v>
      </c>
    </row>
    <row r="12" spans="2:22" ht="12.75">
      <c r="B12" s="130" t="str">
        <f>+'Personel Listesi'!C13</f>
        <v> </v>
      </c>
      <c r="C12" s="294">
        <f>+'Personel Listesi'!S13</f>
        <v>0</v>
      </c>
      <c r="D12" s="2">
        <f t="shared" si="0"/>
        <v>0</v>
      </c>
      <c r="E12" s="3">
        <f t="shared" si="1"/>
        <v>0</v>
      </c>
      <c r="F12" s="1">
        <f t="shared" si="2"/>
        <v>0</v>
      </c>
      <c r="G12" s="1">
        <f t="shared" si="3"/>
        <v>0.102706</v>
      </c>
      <c r="H12" s="1">
        <f t="shared" si="4"/>
        <v>0</v>
      </c>
      <c r="I12" s="3">
        <f t="shared" si="5"/>
        <v>0</v>
      </c>
      <c r="J12" s="1">
        <f t="shared" si="6"/>
        <v>0</v>
      </c>
      <c r="K12" s="3">
        <f t="shared" si="15"/>
        <v>0</v>
      </c>
      <c r="L12" s="1">
        <f t="shared" si="7"/>
        <v>0</v>
      </c>
      <c r="M12" s="3">
        <f t="shared" si="16"/>
        <v>0</v>
      </c>
      <c r="O12" s="1" t="str">
        <f t="shared" si="8"/>
        <v> </v>
      </c>
      <c r="P12" s="209"/>
      <c r="Q12" s="3">
        <f t="shared" si="9"/>
        <v>0</v>
      </c>
      <c r="R12" s="1">
        <f t="shared" si="10"/>
        <v>0</v>
      </c>
      <c r="S12" s="1">
        <f t="shared" si="11"/>
        <v>0</v>
      </c>
      <c r="T12" s="1">
        <f t="shared" si="12"/>
        <v>0</v>
      </c>
      <c r="U12" s="1">
        <f t="shared" si="13"/>
        <v>0</v>
      </c>
      <c r="V12" s="1">
        <f t="shared" si="14"/>
        <v>0</v>
      </c>
    </row>
    <row r="13" spans="2:22" ht="12.75">
      <c r="B13" s="130" t="str">
        <f>+'Personel Listesi'!C14</f>
        <v> </v>
      </c>
      <c r="C13" s="294">
        <f>+'Personel Listesi'!S14</f>
        <v>0</v>
      </c>
      <c r="D13" s="2">
        <f t="shared" si="0"/>
        <v>0</v>
      </c>
      <c r="E13" s="3">
        <f t="shared" si="1"/>
        <v>0</v>
      </c>
      <c r="F13" s="1">
        <f t="shared" si="2"/>
        <v>0</v>
      </c>
      <c r="G13" s="1">
        <f t="shared" si="3"/>
        <v>0.102706</v>
      </c>
      <c r="H13" s="1">
        <f t="shared" si="4"/>
        <v>0</v>
      </c>
      <c r="I13" s="3">
        <f t="shared" si="5"/>
        <v>0</v>
      </c>
      <c r="J13" s="1">
        <f t="shared" si="6"/>
        <v>0</v>
      </c>
      <c r="K13" s="3">
        <f t="shared" si="15"/>
        <v>0</v>
      </c>
      <c r="L13" s="1">
        <f t="shared" si="7"/>
        <v>0</v>
      </c>
      <c r="M13" s="3">
        <f t="shared" si="16"/>
        <v>0</v>
      </c>
      <c r="O13" s="1" t="str">
        <f t="shared" si="8"/>
        <v> </v>
      </c>
      <c r="P13" s="209"/>
      <c r="Q13" s="3">
        <f t="shared" si="9"/>
        <v>0</v>
      </c>
      <c r="R13" s="1">
        <f t="shared" si="10"/>
        <v>0</v>
      </c>
      <c r="S13" s="1">
        <f t="shared" si="11"/>
        <v>0</v>
      </c>
      <c r="T13" s="1">
        <f t="shared" si="12"/>
        <v>0</v>
      </c>
      <c r="U13" s="1">
        <f t="shared" si="13"/>
        <v>0</v>
      </c>
      <c r="V13" s="1">
        <f t="shared" si="14"/>
        <v>0</v>
      </c>
    </row>
    <row r="14" spans="2:22" ht="12.75">
      <c r="B14" s="130" t="str">
        <f>+'Personel Listesi'!C15</f>
        <v> </v>
      </c>
      <c r="C14" s="294">
        <f>+'Personel Listesi'!S15</f>
        <v>0</v>
      </c>
      <c r="D14" s="2">
        <f t="shared" si="0"/>
        <v>0</v>
      </c>
      <c r="E14" s="3">
        <f t="shared" si="1"/>
        <v>0</v>
      </c>
      <c r="F14" s="1">
        <f t="shared" si="2"/>
        <v>0</v>
      </c>
      <c r="G14" s="1">
        <f t="shared" si="3"/>
        <v>0.102706</v>
      </c>
      <c r="H14" s="1">
        <f t="shared" si="4"/>
        <v>0</v>
      </c>
      <c r="I14" s="3">
        <f t="shared" si="5"/>
        <v>0</v>
      </c>
      <c r="J14" s="1">
        <f t="shared" si="6"/>
        <v>0</v>
      </c>
      <c r="K14" s="3">
        <f t="shared" si="15"/>
        <v>0</v>
      </c>
      <c r="L14" s="1">
        <f t="shared" si="7"/>
        <v>0</v>
      </c>
      <c r="M14" s="3">
        <f t="shared" si="16"/>
        <v>0</v>
      </c>
      <c r="O14" s="1" t="str">
        <f t="shared" si="8"/>
        <v> </v>
      </c>
      <c r="P14" s="209"/>
      <c r="Q14" s="3">
        <f t="shared" si="9"/>
        <v>0</v>
      </c>
      <c r="R14" s="1">
        <f t="shared" si="10"/>
        <v>0</v>
      </c>
      <c r="S14" s="1">
        <f t="shared" si="11"/>
        <v>0</v>
      </c>
      <c r="T14" s="1">
        <f t="shared" si="12"/>
        <v>0</v>
      </c>
      <c r="U14" s="1">
        <f t="shared" si="13"/>
        <v>0</v>
      </c>
      <c r="V14" s="1">
        <f t="shared" si="14"/>
        <v>0</v>
      </c>
    </row>
    <row r="15" spans="2:22" ht="12.75">
      <c r="B15" s="130" t="str">
        <f>+'Personel Listesi'!C16</f>
        <v> </v>
      </c>
      <c r="C15" s="294">
        <f>+'Personel Listesi'!S16</f>
        <v>0</v>
      </c>
      <c r="D15" s="2">
        <f t="shared" si="0"/>
        <v>0</v>
      </c>
      <c r="E15" s="3">
        <f t="shared" si="1"/>
        <v>0</v>
      </c>
      <c r="F15" s="1">
        <f t="shared" si="2"/>
        <v>0</v>
      </c>
      <c r="G15" s="1">
        <f t="shared" si="3"/>
        <v>0.102706</v>
      </c>
      <c r="H15" s="1">
        <f t="shared" si="4"/>
        <v>0</v>
      </c>
      <c r="I15" s="3">
        <f t="shared" si="5"/>
        <v>0</v>
      </c>
      <c r="J15" s="1">
        <f t="shared" si="6"/>
        <v>0</v>
      </c>
      <c r="K15" s="3">
        <f t="shared" si="15"/>
        <v>0</v>
      </c>
      <c r="L15" s="1">
        <f t="shared" si="7"/>
        <v>0</v>
      </c>
      <c r="M15" s="3">
        <f t="shared" si="16"/>
        <v>0</v>
      </c>
      <c r="O15" s="1" t="str">
        <f t="shared" si="8"/>
        <v> </v>
      </c>
      <c r="P15" s="209"/>
      <c r="Q15" s="3">
        <f t="shared" si="9"/>
        <v>0</v>
      </c>
      <c r="R15" s="1">
        <f t="shared" si="10"/>
        <v>0</v>
      </c>
      <c r="S15" s="1">
        <f t="shared" si="11"/>
        <v>0</v>
      </c>
      <c r="T15" s="1">
        <f t="shared" si="12"/>
        <v>0</v>
      </c>
      <c r="U15" s="1">
        <f t="shared" si="13"/>
        <v>0</v>
      </c>
      <c r="V15" s="1">
        <f t="shared" si="14"/>
        <v>0</v>
      </c>
    </row>
    <row r="16" spans="2:22" ht="12.75">
      <c r="B16" s="130" t="str">
        <f>+'Personel Listesi'!C17</f>
        <v> </v>
      </c>
      <c r="C16" s="294">
        <f>+'Personel Listesi'!S17</f>
        <v>0</v>
      </c>
      <c r="D16" s="2">
        <f t="shared" si="0"/>
        <v>0</v>
      </c>
      <c r="E16" s="3">
        <f t="shared" si="1"/>
        <v>0</v>
      </c>
      <c r="F16" s="1">
        <f t="shared" si="2"/>
        <v>0</v>
      </c>
      <c r="G16" s="1">
        <f t="shared" si="3"/>
        <v>0.102706</v>
      </c>
      <c r="H16" s="1">
        <f t="shared" si="4"/>
        <v>0</v>
      </c>
      <c r="I16" s="3">
        <f t="shared" si="5"/>
        <v>0</v>
      </c>
      <c r="J16" s="1">
        <f t="shared" si="6"/>
        <v>0</v>
      </c>
      <c r="K16" s="3">
        <f t="shared" si="15"/>
        <v>0</v>
      </c>
      <c r="L16" s="1">
        <f t="shared" si="7"/>
        <v>0</v>
      </c>
      <c r="M16" s="3">
        <f t="shared" si="16"/>
        <v>0</v>
      </c>
      <c r="O16" s="1" t="str">
        <f t="shared" si="8"/>
        <v> </v>
      </c>
      <c r="P16" s="209"/>
      <c r="Q16" s="3">
        <f t="shared" si="9"/>
        <v>0</v>
      </c>
      <c r="R16" s="1">
        <f t="shared" si="10"/>
        <v>0</v>
      </c>
      <c r="S16" s="1">
        <f t="shared" si="11"/>
        <v>0</v>
      </c>
      <c r="T16" s="1">
        <f t="shared" si="12"/>
        <v>0</v>
      </c>
      <c r="U16" s="1">
        <f t="shared" si="13"/>
        <v>0</v>
      </c>
      <c r="V16" s="1">
        <f t="shared" si="14"/>
        <v>0</v>
      </c>
    </row>
    <row r="17" spans="2:22" ht="12.75">
      <c r="B17" s="130" t="str">
        <f>+'Personel Listesi'!C18</f>
        <v> </v>
      </c>
      <c r="C17" s="294">
        <f>+'Personel Listesi'!S18</f>
        <v>0</v>
      </c>
      <c r="D17" s="2">
        <f t="shared" si="0"/>
        <v>0</v>
      </c>
      <c r="E17" s="3">
        <f t="shared" si="1"/>
        <v>0</v>
      </c>
      <c r="F17" s="1">
        <f t="shared" si="2"/>
        <v>0</v>
      </c>
      <c r="G17" s="1">
        <f t="shared" si="3"/>
        <v>0.102706</v>
      </c>
      <c r="H17" s="1">
        <f t="shared" si="4"/>
        <v>0</v>
      </c>
      <c r="I17" s="3">
        <f t="shared" si="5"/>
        <v>0</v>
      </c>
      <c r="J17" s="1">
        <f t="shared" si="6"/>
        <v>0</v>
      </c>
      <c r="K17" s="3">
        <f t="shared" si="15"/>
        <v>0</v>
      </c>
      <c r="L17" s="1">
        <f t="shared" si="7"/>
        <v>0</v>
      </c>
      <c r="M17" s="3">
        <f t="shared" si="16"/>
        <v>0</v>
      </c>
      <c r="O17" s="1" t="str">
        <f t="shared" si="8"/>
        <v> </v>
      </c>
      <c r="P17" s="209"/>
      <c r="Q17" s="3">
        <f t="shared" si="9"/>
        <v>0</v>
      </c>
      <c r="R17" s="1">
        <f t="shared" si="10"/>
        <v>0</v>
      </c>
      <c r="S17" s="1">
        <f t="shared" si="11"/>
        <v>0</v>
      </c>
      <c r="T17" s="1">
        <f t="shared" si="12"/>
        <v>0</v>
      </c>
      <c r="U17" s="1">
        <f t="shared" si="13"/>
        <v>0</v>
      </c>
      <c r="V17" s="1">
        <f t="shared" si="14"/>
        <v>0</v>
      </c>
    </row>
    <row r="18" spans="2:22" ht="12.75">
      <c r="B18" s="130" t="str">
        <f>+'Personel Listesi'!C19</f>
        <v> </v>
      </c>
      <c r="C18" s="294">
        <f>+'Personel Listesi'!S19</f>
        <v>0</v>
      </c>
      <c r="D18" s="2">
        <f t="shared" si="0"/>
        <v>0</v>
      </c>
      <c r="E18" s="3">
        <f t="shared" si="1"/>
        <v>0</v>
      </c>
      <c r="F18" s="1">
        <f t="shared" si="2"/>
        <v>0</v>
      </c>
      <c r="G18" s="1">
        <f t="shared" si="3"/>
        <v>0.102706</v>
      </c>
      <c r="H18" s="1">
        <f t="shared" si="4"/>
        <v>0</v>
      </c>
      <c r="I18" s="3">
        <f t="shared" si="5"/>
        <v>0</v>
      </c>
      <c r="J18" s="1">
        <f t="shared" si="6"/>
        <v>0</v>
      </c>
      <c r="K18" s="3">
        <f t="shared" si="15"/>
        <v>0</v>
      </c>
      <c r="L18" s="1">
        <f t="shared" si="7"/>
        <v>0</v>
      </c>
      <c r="M18" s="3">
        <f t="shared" si="16"/>
        <v>0</v>
      </c>
      <c r="O18" s="1" t="str">
        <f t="shared" si="8"/>
        <v> </v>
      </c>
      <c r="P18" s="209"/>
      <c r="Q18" s="3">
        <f t="shared" si="9"/>
        <v>0</v>
      </c>
      <c r="R18" s="1">
        <f t="shared" si="10"/>
        <v>0</v>
      </c>
      <c r="S18" s="1">
        <f t="shared" si="11"/>
        <v>0</v>
      </c>
      <c r="T18" s="1">
        <f t="shared" si="12"/>
        <v>0</v>
      </c>
      <c r="U18" s="1">
        <f t="shared" si="13"/>
        <v>0</v>
      </c>
      <c r="V18" s="1">
        <f t="shared" si="14"/>
        <v>0</v>
      </c>
    </row>
  </sheetData>
  <sheetProtection password="C620" sheet="1"/>
  <mergeCells count="10">
    <mergeCell ref="V2:V3"/>
    <mergeCell ref="O2:O4"/>
    <mergeCell ref="P2:P4"/>
    <mergeCell ref="C3:C4"/>
    <mergeCell ref="B3:B4"/>
    <mergeCell ref="D3:D4"/>
    <mergeCell ref="Q2:Q3"/>
    <mergeCell ref="R2:R3"/>
    <mergeCell ref="S2:S3"/>
    <mergeCell ref="T2:T3"/>
  </mergeCells>
  <dataValidations count="1">
    <dataValidation type="list" allowBlank="1" showInputMessage="1" showErrorMessage="1" sqref="P5:P18">
      <formula1>$AC$3:$AC$4</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ayfa10">
    <tabColor indexed="24"/>
  </sheetPr>
  <dimension ref="A1:AT35"/>
  <sheetViews>
    <sheetView showGridLines="0" showZeros="0" zoomScalePageLayoutView="0" workbookViewId="0" topLeftCell="A1">
      <selection activeCell="A1" sqref="A1"/>
    </sheetView>
  </sheetViews>
  <sheetFormatPr defaultColWidth="9.140625" defaultRowHeight="12.75"/>
  <cols>
    <col min="1" max="1" width="9.140625" style="18" customWidth="1"/>
    <col min="2" max="2" width="31.140625" style="18" customWidth="1"/>
    <col min="3" max="4" width="9.140625" style="18" customWidth="1"/>
    <col min="5" max="5" width="10.28125" style="18" customWidth="1"/>
    <col min="6" max="6" width="9.140625" style="18" customWidth="1"/>
    <col min="7" max="7" width="13.00390625" style="18" customWidth="1"/>
    <col min="8" max="11" width="9.140625" style="18" customWidth="1"/>
    <col min="12" max="12" width="11.00390625" style="18" customWidth="1"/>
    <col min="13" max="13" width="10.8515625" style="18" customWidth="1"/>
    <col min="14" max="14" width="9.140625" style="18" customWidth="1"/>
    <col min="15" max="15" width="16.8515625" style="18" customWidth="1"/>
    <col min="16" max="16" width="11.28125" style="18" customWidth="1"/>
    <col min="17" max="17" width="15.7109375" style="18" customWidth="1"/>
    <col min="18" max="18" width="10.7109375" style="18" customWidth="1"/>
    <col min="19" max="21" width="9.57421875" style="18" customWidth="1"/>
    <col min="22" max="22" width="7.7109375" style="18" customWidth="1"/>
    <col min="23" max="23" width="6.28125" style="18" customWidth="1"/>
    <col min="24" max="24" width="9.57421875" style="18" customWidth="1"/>
    <col min="25" max="25" width="11.8515625" style="18" customWidth="1"/>
    <col min="26" max="26" width="11.8515625" style="138" customWidth="1"/>
    <col min="27" max="27" width="5.8515625" style="18" customWidth="1"/>
    <col min="28" max="28" width="13.8515625" style="18" customWidth="1"/>
    <col min="29" max="29" width="18.140625" style="18" customWidth="1"/>
    <col min="30" max="30" width="9.8515625" style="18" customWidth="1"/>
    <col min="31" max="31" width="16.57421875" style="18" customWidth="1"/>
    <col min="32" max="32" width="11.140625" style="18" customWidth="1"/>
    <col min="33" max="33" width="10.140625" style="18" customWidth="1"/>
    <col min="34" max="38" width="9.7109375" style="18" customWidth="1"/>
    <col min="39" max="40" width="9.57421875" style="18" customWidth="1"/>
    <col min="41" max="45" width="9.421875" style="18" customWidth="1"/>
    <col min="46" max="46" width="10.140625" style="18" customWidth="1"/>
    <col min="47" max="16384" width="9.140625" style="18" customWidth="1"/>
  </cols>
  <sheetData>
    <row r="1" spans="1:45" ht="16.5" thickBot="1">
      <c r="A1" s="16"/>
      <c r="B1" s="16" t="s">
        <v>34</v>
      </c>
      <c r="C1" s="16"/>
      <c r="D1" s="16"/>
      <c r="E1" s="16" t="s">
        <v>35</v>
      </c>
      <c r="F1" s="16"/>
      <c r="G1" s="16">
        <v>1</v>
      </c>
      <c r="H1" s="16"/>
      <c r="I1" s="516" t="s">
        <v>36</v>
      </c>
      <c r="J1" s="516"/>
      <c r="K1" s="17">
        <f>+Katsayılar!F5</f>
        <v>59.25</v>
      </c>
      <c r="Y1" s="19"/>
      <c r="Z1" s="135"/>
      <c r="AA1" s="19"/>
      <c r="AB1" s="19"/>
      <c r="AC1" s="19"/>
      <c r="AD1" s="19"/>
      <c r="AE1" s="19"/>
      <c r="AF1" s="20" t="s">
        <v>111</v>
      </c>
      <c r="AG1" s="19"/>
      <c r="AH1" s="19"/>
      <c r="AI1" s="19"/>
      <c r="AJ1" s="19"/>
      <c r="AK1" s="19"/>
      <c r="AL1" s="19"/>
      <c r="AM1" s="19"/>
      <c r="AN1" s="19"/>
      <c r="AO1" s="19"/>
      <c r="AP1" s="19"/>
      <c r="AQ1" s="19"/>
      <c r="AR1" s="19"/>
      <c r="AS1" s="19"/>
    </row>
    <row r="2" spans="1:45" ht="15">
      <c r="A2" s="16"/>
      <c r="B2" s="16" t="s">
        <v>37</v>
      </c>
      <c r="C2" s="16"/>
      <c r="D2" s="16"/>
      <c r="E2" s="16" t="s">
        <v>38</v>
      </c>
      <c r="F2" s="16"/>
      <c r="G2" s="16">
        <v>2</v>
      </c>
      <c r="H2" s="16"/>
      <c r="K2" s="17"/>
      <c r="Y2" s="19"/>
      <c r="Z2" s="139" t="s">
        <v>101</v>
      </c>
      <c r="AA2" s="19"/>
      <c r="AB2" s="19"/>
      <c r="AC2" s="19"/>
      <c r="AD2" s="19"/>
      <c r="AE2" s="19"/>
      <c r="AF2" s="19"/>
      <c r="AG2" s="19"/>
      <c r="AH2" s="19"/>
      <c r="AI2" s="19"/>
      <c r="AJ2" s="19"/>
      <c r="AK2" s="19"/>
      <c r="AL2" s="19"/>
      <c r="AM2" s="19"/>
      <c r="AN2" s="19"/>
      <c r="AO2" s="19"/>
      <c r="AP2" s="19"/>
      <c r="AQ2" s="19"/>
      <c r="AR2" s="19"/>
      <c r="AS2" s="19"/>
    </row>
    <row r="3" spans="1:46" ht="16.5" thickBot="1">
      <c r="A3" s="16"/>
      <c r="B3" s="16" t="s">
        <v>154</v>
      </c>
      <c r="C3" s="16"/>
      <c r="D3" s="16"/>
      <c r="E3" s="16"/>
      <c r="F3" s="16"/>
      <c r="G3" s="16">
        <v>3</v>
      </c>
      <c r="H3" s="16"/>
      <c r="Y3" s="19"/>
      <c r="Z3" s="139" t="s">
        <v>102</v>
      </c>
      <c r="AA3" s="517" t="s">
        <v>39</v>
      </c>
      <c r="AB3" s="517"/>
      <c r="AC3" s="517"/>
      <c r="AD3" s="517"/>
      <c r="AE3" s="517"/>
      <c r="AF3" s="517"/>
      <c r="AG3" s="517"/>
      <c r="AH3" s="517"/>
      <c r="AI3" s="517"/>
      <c r="AJ3" s="517"/>
      <c r="AK3" s="517"/>
      <c r="AL3" s="517"/>
      <c r="AM3" s="517"/>
      <c r="AN3" s="517"/>
      <c r="AO3" s="517"/>
      <c r="AP3" s="517"/>
      <c r="AQ3" s="517"/>
      <c r="AR3" s="518" t="s">
        <v>40</v>
      </c>
      <c r="AS3" s="518"/>
      <c r="AT3" s="21"/>
    </row>
    <row r="4" spans="1:46" ht="18" customHeight="1" thickBot="1">
      <c r="A4" s="16"/>
      <c r="B4" s="16"/>
      <c r="C4" s="16"/>
      <c r="D4" s="16"/>
      <c r="E4" s="16"/>
      <c r="F4" s="16"/>
      <c r="G4" s="16">
        <v>4</v>
      </c>
      <c r="H4" s="16"/>
      <c r="Y4" s="19"/>
      <c r="Z4" s="135"/>
      <c r="AA4" s="519" t="s">
        <v>0</v>
      </c>
      <c r="AB4" s="520"/>
      <c r="AC4" s="520"/>
      <c r="AD4" s="520"/>
      <c r="AE4" s="520"/>
      <c r="AF4" s="521"/>
      <c r="AG4" s="522">
        <f>ROUND((AO4*30)*12,2)</f>
        <v>21330</v>
      </c>
      <c r="AH4" s="523"/>
      <c r="AI4" s="523"/>
      <c r="AJ4" s="523"/>
      <c r="AK4" s="22" t="s">
        <v>1</v>
      </c>
      <c r="AL4" s="22"/>
      <c r="AM4" s="520" t="s">
        <v>2</v>
      </c>
      <c r="AN4" s="520"/>
      <c r="AO4" s="23">
        <f>+K1</f>
        <v>59.25</v>
      </c>
      <c r="AP4" s="22"/>
      <c r="AQ4" s="22"/>
      <c r="AR4" s="22">
        <v>2011</v>
      </c>
      <c r="AS4" s="22" t="s">
        <v>3</v>
      </c>
      <c r="AT4" s="504"/>
    </row>
    <row r="5" spans="1:46" ht="16.5" thickBot="1">
      <c r="A5" s="16"/>
      <c r="B5" s="16"/>
      <c r="C5" s="16"/>
      <c r="D5" s="16"/>
      <c r="E5" s="16"/>
      <c r="F5" s="16"/>
      <c r="G5" s="16"/>
      <c r="H5" s="16"/>
      <c r="Y5" s="19"/>
      <c r="Z5" s="135"/>
      <c r="AA5" s="24"/>
      <c r="AB5" s="25"/>
      <c r="AC5" s="25">
        <v>1</v>
      </c>
      <c r="AD5" s="25">
        <v>2</v>
      </c>
      <c r="AE5" s="25">
        <v>3</v>
      </c>
      <c r="AF5" s="25">
        <v>4</v>
      </c>
      <c r="AG5" s="505" t="s">
        <v>4</v>
      </c>
      <c r="AH5" s="505"/>
      <c r="AI5" s="505"/>
      <c r="AJ5" s="505"/>
      <c r="AK5" s="505"/>
      <c r="AL5" s="505"/>
      <c r="AM5" s="505"/>
      <c r="AN5" s="505"/>
      <c r="AO5" s="505"/>
      <c r="AP5" s="505"/>
      <c r="AQ5" s="505"/>
      <c r="AR5" s="505"/>
      <c r="AS5" s="505"/>
      <c r="AT5" s="504"/>
    </row>
    <row r="6" spans="9:46" ht="126.75" thickBot="1">
      <c r="I6" s="507" t="s">
        <v>53</v>
      </c>
      <c r="J6" s="507"/>
      <c r="K6" s="507"/>
      <c r="L6" s="507"/>
      <c r="M6" s="507"/>
      <c r="N6" s="507"/>
      <c r="O6" s="507"/>
      <c r="P6" s="507"/>
      <c r="Q6" s="507"/>
      <c r="Y6" s="19"/>
      <c r="Z6" s="135"/>
      <c r="AA6" s="508" t="s">
        <v>41</v>
      </c>
      <c r="AB6" s="26"/>
      <c r="AC6" s="27" t="s">
        <v>54</v>
      </c>
      <c r="AD6" s="27" t="s">
        <v>55</v>
      </c>
      <c r="AE6" s="27" t="s">
        <v>56</v>
      </c>
      <c r="AF6" s="27" t="s">
        <v>57</v>
      </c>
      <c r="AG6" s="506"/>
      <c r="AH6" s="506"/>
      <c r="AI6" s="506"/>
      <c r="AJ6" s="506"/>
      <c r="AK6" s="506"/>
      <c r="AL6" s="506"/>
      <c r="AM6" s="506"/>
      <c r="AN6" s="506"/>
      <c r="AO6" s="506"/>
      <c r="AP6" s="506"/>
      <c r="AQ6" s="506"/>
      <c r="AR6" s="506"/>
      <c r="AS6" s="506"/>
      <c r="AT6" s="504"/>
    </row>
    <row r="7" spans="1:46" ht="64.5" customHeight="1" thickBot="1">
      <c r="A7" s="29" t="s">
        <v>41</v>
      </c>
      <c r="B7" s="30" t="s">
        <v>135</v>
      </c>
      <c r="C7" s="30" t="s">
        <v>58</v>
      </c>
      <c r="D7" s="30"/>
      <c r="E7" s="30" t="s">
        <v>59</v>
      </c>
      <c r="F7" s="30" t="s">
        <v>60</v>
      </c>
      <c r="G7" s="30" t="s">
        <v>61</v>
      </c>
      <c r="H7" s="31" t="s">
        <v>62</v>
      </c>
      <c r="I7" s="30" t="s">
        <v>63</v>
      </c>
      <c r="J7" s="30" t="s">
        <v>64</v>
      </c>
      <c r="K7" s="32" t="s">
        <v>65</v>
      </c>
      <c r="L7" s="31" t="s">
        <v>66</v>
      </c>
      <c r="M7" s="31" t="s">
        <v>67</v>
      </c>
      <c r="N7" s="31" t="s">
        <v>56</v>
      </c>
      <c r="O7" s="30" t="s">
        <v>68</v>
      </c>
      <c r="P7" s="31" t="s">
        <v>69</v>
      </c>
      <c r="Q7" s="31" t="s">
        <v>70</v>
      </c>
      <c r="R7" s="31" t="s">
        <v>71</v>
      </c>
      <c r="S7" s="31" t="s">
        <v>72</v>
      </c>
      <c r="T7" s="31" t="s">
        <v>73</v>
      </c>
      <c r="U7" s="31" t="s">
        <v>74</v>
      </c>
      <c r="V7" s="31" t="s">
        <v>75</v>
      </c>
      <c r="W7" s="31" t="s">
        <v>76</v>
      </c>
      <c r="X7" s="31" t="s">
        <v>77</v>
      </c>
      <c r="Y7" s="33" t="s">
        <v>78</v>
      </c>
      <c r="Z7" s="136"/>
      <c r="AA7" s="509"/>
      <c r="AB7" s="28"/>
      <c r="AC7" s="34" t="s">
        <v>135</v>
      </c>
      <c r="AD7" s="34" t="s">
        <v>79</v>
      </c>
      <c r="AE7" s="27" t="s">
        <v>80</v>
      </c>
      <c r="AF7" s="34" t="s">
        <v>81</v>
      </c>
      <c r="AG7" s="35" t="s">
        <v>28</v>
      </c>
      <c r="AH7" s="36"/>
      <c r="AI7" s="36"/>
      <c r="AJ7" s="36"/>
      <c r="AK7" s="36"/>
      <c r="AL7" s="36"/>
      <c r="AM7" s="36"/>
      <c r="AN7" s="36"/>
      <c r="AO7" s="36"/>
      <c r="AP7" s="36"/>
      <c r="AQ7" s="36"/>
      <c r="AR7" s="36"/>
      <c r="AS7" s="36"/>
      <c r="AT7" s="37" t="s">
        <v>82</v>
      </c>
    </row>
    <row r="8" spans="1:46" ht="30" customHeight="1" thickBot="1">
      <c r="A8" s="38">
        <v>1</v>
      </c>
      <c r="B8" s="39" t="str">
        <f>IF('Bilgi Girişi'!D6="Fark",0,IF('Bilgi Girişi'!D6="Kıst Dönem",0,+'Bilgi Girişi'!D10))</f>
        <v>ÖRNEK KİŞİ</v>
      </c>
      <c r="C8" s="59" t="str">
        <f>+'Bilgi Girişi'!K20</f>
        <v>Evli Eşi Çalışmıyor</v>
      </c>
      <c r="D8" s="39" t="str">
        <f>MID(C8,10,10)</f>
        <v>Çalışmıyor</v>
      </c>
      <c r="E8" s="39" t="str">
        <f>IF('Bilgi Girişi'!D6="Kıst Dönem",0,IF(A8&lt;=0,"",IF(D8="Çalışıyor","Evet",IF(C8="Dul","",IF(C8="Bekar","",IF(D8="Çalışmıyor","Hayır",IF(D8="","Hayır","")))))))</f>
        <v>Hayır</v>
      </c>
      <c r="F8" s="60">
        <f>IF('Bilgi Girişi'!D10="",0,+'Bilgi Girişi'!K22)</f>
        <v>3</v>
      </c>
      <c r="G8" s="40">
        <v>0</v>
      </c>
      <c r="H8" s="41">
        <f>+'Tek Kişilik'!H18</f>
        <v>21619.75</v>
      </c>
      <c r="I8" s="41"/>
      <c r="J8" s="41">
        <f>H8-I8</f>
        <v>21619.75</v>
      </c>
      <c r="K8" s="42">
        <f>IF('Bilgi Girişi'!D6="Kıst Dönem",0,IF('Bilgi Girişi'!D6="Fark",0,+'Tek Kişilik'!H22))</f>
        <v>163.15</v>
      </c>
      <c r="L8" s="42">
        <f aca="true" t="shared" si="0" ref="L8:L26">IF(A8&lt;=0,0,+$K$1)</f>
        <v>59.25</v>
      </c>
      <c r="M8" s="41">
        <f>(L8*30)*12</f>
        <v>21330</v>
      </c>
      <c r="N8" s="43">
        <f>ROUND((M8*X8)/100,2)</f>
        <v>18130.5</v>
      </c>
      <c r="O8" s="43">
        <f>ROUND((N8*0.15),2)</f>
        <v>2719.58</v>
      </c>
      <c r="P8" s="44">
        <f>ROUND((O8/12),2)</f>
        <v>226.63</v>
      </c>
      <c r="Q8" s="45">
        <f>IF(K8-P8&lt;0,0,K8-P8)</f>
        <v>0</v>
      </c>
      <c r="R8" s="40">
        <f>IF(A8&lt;=0,0,50)</f>
        <v>50</v>
      </c>
      <c r="S8" s="46">
        <f>IF(E8="Hayır",10,0)</f>
        <v>10</v>
      </c>
      <c r="T8" s="46">
        <f>IF(F8=0,0,IF(F8=1,7.5,IF(F8&gt;1,7.5)))</f>
        <v>7.5</v>
      </c>
      <c r="U8" s="46">
        <f>IF(F8=0,0,IF(F8&gt;1,7.5,))</f>
        <v>7.5</v>
      </c>
      <c r="V8" s="46">
        <f>IF(F8&gt;2,10,0)</f>
        <v>10</v>
      </c>
      <c r="W8" s="46">
        <f>IF(F8&gt;R8+S8+T8+U8&gt;=85,0,5)</f>
        <v>0</v>
      </c>
      <c r="X8" s="46">
        <f>SUM(R8:W8)</f>
        <v>85</v>
      </c>
      <c r="Y8" s="47">
        <f>IF(K8&lt;P8,+K8,+P8)</f>
        <v>163.15</v>
      </c>
      <c r="Z8" s="137"/>
      <c r="AA8" s="34">
        <v>1</v>
      </c>
      <c r="AB8" s="48" t="str">
        <f>CONCATENATE(C8," ",F8," ","Çocuklu")</f>
        <v>Evli Eşi Çalışmıyor 3 Çocuklu</v>
      </c>
      <c r="AC8" s="34" t="str">
        <f>+B8</f>
        <v>ÖRNEK KİŞİ</v>
      </c>
      <c r="AD8" s="28">
        <f>+X8</f>
        <v>85</v>
      </c>
      <c r="AE8" s="49">
        <f>+N8</f>
        <v>18130.5</v>
      </c>
      <c r="AF8" s="50">
        <f>+P8</f>
        <v>226.63</v>
      </c>
      <c r="AG8" s="51">
        <f>+Y8</f>
        <v>163.15</v>
      </c>
      <c r="AH8" s="51"/>
      <c r="AI8" s="51"/>
      <c r="AJ8" s="51"/>
      <c r="AK8" s="51"/>
      <c r="AL8" s="51"/>
      <c r="AM8" s="51"/>
      <c r="AN8" s="51"/>
      <c r="AO8" s="51"/>
      <c r="AP8" s="51"/>
      <c r="AQ8" s="51"/>
      <c r="AR8" s="51"/>
      <c r="AS8" s="51"/>
      <c r="AT8" s="52">
        <f>SUM(AG8:AS8)</f>
        <v>163.15</v>
      </c>
    </row>
    <row r="9" spans="1:46" ht="30" customHeight="1" thickBot="1">
      <c r="A9" s="38"/>
      <c r="B9" s="39"/>
      <c r="C9" s="39"/>
      <c r="D9" s="39">
        <f aca="true" t="shared" si="1" ref="D9:D26">MID(C9,10,10)</f>
      </c>
      <c r="E9" s="39">
        <f aca="true" t="shared" si="2" ref="E9:E26">IF(A9&lt;=0,"",IF(D9="Çalışıyor","Evet",IF(C9="Dul","",IF(C9="Bekar","",IF(D9="Çalışmıyor","Hayır","")))))</f>
      </c>
      <c r="F9" s="39"/>
      <c r="G9" s="40">
        <v>0</v>
      </c>
      <c r="H9" s="41">
        <v>0</v>
      </c>
      <c r="I9" s="41"/>
      <c r="J9" s="41">
        <f>H9-I9</f>
        <v>0</v>
      </c>
      <c r="K9" s="42">
        <f>ROUND((J9*0.15),2)</f>
        <v>0</v>
      </c>
      <c r="L9" s="42">
        <f t="shared" si="0"/>
        <v>0</v>
      </c>
      <c r="M9" s="41">
        <f>(L9*30)*12</f>
        <v>0</v>
      </c>
      <c r="N9" s="43">
        <f>ROUND((M9*X9)/100,2)</f>
        <v>0</v>
      </c>
      <c r="O9" s="43">
        <f>ROUND((N9*0.15),2)</f>
        <v>0</v>
      </c>
      <c r="P9" s="44">
        <f>ROUND((O9/12),2)</f>
        <v>0</v>
      </c>
      <c r="Q9" s="45">
        <f>IF(K9-P9&lt;0,0,K9-P9)</f>
        <v>0</v>
      </c>
      <c r="R9" s="40">
        <f aca="true" t="shared" si="3" ref="R9:R26">IF(A9&lt;=0,0,50)</f>
        <v>0</v>
      </c>
      <c r="S9" s="46">
        <f>IF(E9="Hayır",10,0)</f>
        <v>0</v>
      </c>
      <c r="T9" s="46">
        <f>IF(F9=0,0,IF(F9=1,7.5,IF(F9&gt;1,7.5)))</f>
        <v>0</v>
      </c>
      <c r="U9" s="46">
        <f>IF(F9=0,0,IF(F9&gt;1,7.5,))</f>
        <v>0</v>
      </c>
      <c r="V9" s="46">
        <f aca="true" t="shared" si="4" ref="V9:V26">IF(F9&gt;2,10,0)</f>
        <v>0</v>
      </c>
      <c r="W9" s="46">
        <f aca="true" t="shared" si="5" ref="W9:W26">IF(F9&gt;R9+S9+T9+U9&gt;=85,0,5)</f>
        <v>0</v>
      </c>
      <c r="X9" s="46">
        <f>SUM(R9:W9)</f>
        <v>0</v>
      </c>
      <c r="Y9" s="47">
        <f>IF(K9&lt;P9,+K9,+P9)</f>
        <v>0</v>
      </c>
      <c r="Z9" s="137"/>
      <c r="AA9" s="34">
        <f>IF(A9&lt;=0,0,AA8+1)</f>
        <v>0</v>
      </c>
      <c r="AB9" s="48" t="str">
        <f aca="true" t="shared" si="6" ref="AB9:AB26">CONCATENATE(C9," ",F9," ","Çocuklu")</f>
        <v>  Çocuklu</v>
      </c>
      <c r="AC9" s="34">
        <f>+B9</f>
        <v>0</v>
      </c>
      <c r="AD9" s="28">
        <f>+X9</f>
        <v>0</v>
      </c>
      <c r="AE9" s="49">
        <f>+N9</f>
        <v>0</v>
      </c>
      <c r="AF9" s="50">
        <f>+P9</f>
        <v>0</v>
      </c>
      <c r="AG9" s="51">
        <f aca="true" t="shared" si="7" ref="AG9:AG26">+Y9</f>
        <v>0</v>
      </c>
      <c r="AH9" s="51"/>
      <c r="AI9" s="51"/>
      <c r="AJ9" s="51"/>
      <c r="AK9" s="51"/>
      <c r="AL9" s="51"/>
      <c r="AM9" s="51"/>
      <c r="AN9" s="51"/>
      <c r="AO9" s="51"/>
      <c r="AP9" s="51"/>
      <c r="AQ9" s="51"/>
      <c r="AR9" s="51"/>
      <c r="AS9" s="51"/>
      <c r="AT9" s="52">
        <f>SUM(AG9:AS9)</f>
        <v>0</v>
      </c>
    </row>
    <row r="10" spans="1:46" ht="30" customHeight="1" thickBot="1">
      <c r="A10" s="38"/>
      <c r="B10" s="39"/>
      <c r="C10" s="39"/>
      <c r="D10" s="39">
        <f t="shared" si="1"/>
      </c>
      <c r="E10" s="39">
        <f t="shared" si="2"/>
      </c>
      <c r="F10" s="39"/>
      <c r="G10" s="40">
        <v>0</v>
      </c>
      <c r="H10" s="41">
        <v>0</v>
      </c>
      <c r="I10" s="41"/>
      <c r="J10" s="41">
        <f aca="true" t="shared" si="8" ref="J10:J26">H10-I10</f>
        <v>0</v>
      </c>
      <c r="K10" s="42">
        <f aca="true" t="shared" si="9" ref="K10:K26">ROUND((J10*0.15),2)</f>
        <v>0</v>
      </c>
      <c r="L10" s="42">
        <f t="shared" si="0"/>
        <v>0</v>
      </c>
      <c r="M10" s="41">
        <f aca="true" t="shared" si="10" ref="M10:M26">(L10*30)*12</f>
        <v>0</v>
      </c>
      <c r="N10" s="43">
        <f aca="true" t="shared" si="11" ref="N10:N26">ROUND((M10*X10)/100,2)</f>
        <v>0</v>
      </c>
      <c r="O10" s="43">
        <f aca="true" t="shared" si="12" ref="O10:O26">ROUND((N10*0.15),2)</f>
        <v>0</v>
      </c>
      <c r="P10" s="44">
        <f aca="true" t="shared" si="13" ref="P10:P26">ROUND((O10/12),2)</f>
        <v>0</v>
      </c>
      <c r="Q10" s="45">
        <f aca="true" t="shared" si="14" ref="Q10:Q26">IF(K10-P10&lt;0,0,K10-P10)</f>
        <v>0</v>
      </c>
      <c r="R10" s="40">
        <f t="shared" si="3"/>
        <v>0</v>
      </c>
      <c r="S10" s="46">
        <f aca="true" t="shared" si="15" ref="S10:S26">IF(E10="Hayır",10,0)</f>
        <v>0</v>
      </c>
      <c r="T10" s="46">
        <f aca="true" t="shared" si="16" ref="T10:T26">IF(F10=0,0,IF(F10=1,7.5,IF(F10&gt;1,7.5)))</f>
        <v>0</v>
      </c>
      <c r="U10" s="46">
        <f aca="true" t="shared" si="17" ref="U10:U26">IF(F10=0,0,IF(F10&gt;1,7.5,))</f>
        <v>0</v>
      </c>
      <c r="V10" s="46">
        <f t="shared" si="4"/>
        <v>0</v>
      </c>
      <c r="W10" s="46">
        <f t="shared" si="5"/>
        <v>0</v>
      </c>
      <c r="X10" s="46">
        <f aca="true" t="shared" si="18" ref="X10:X26">SUM(R10:W10)</f>
        <v>0</v>
      </c>
      <c r="Y10" s="47">
        <f aca="true" t="shared" si="19" ref="Y10:Y26">IF(K10&lt;P10,+K10,+P10)</f>
        <v>0</v>
      </c>
      <c r="Z10" s="137"/>
      <c r="AA10" s="34">
        <f aca="true" t="shared" si="20" ref="AA10:AA26">IF(A10&lt;=0,0,AA9+1)</f>
        <v>0</v>
      </c>
      <c r="AB10" s="48" t="str">
        <f t="shared" si="6"/>
        <v>  Çocuklu</v>
      </c>
      <c r="AC10" s="34">
        <f aca="true" t="shared" si="21" ref="AC10:AC26">+B10</f>
        <v>0</v>
      </c>
      <c r="AD10" s="28">
        <f aca="true" t="shared" si="22" ref="AD10:AD26">+X10</f>
        <v>0</v>
      </c>
      <c r="AE10" s="49">
        <f aca="true" t="shared" si="23" ref="AE10:AE26">+N10</f>
        <v>0</v>
      </c>
      <c r="AF10" s="50">
        <f aca="true" t="shared" si="24" ref="AF10:AF26">+P10</f>
        <v>0</v>
      </c>
      <c r="AG10" s="51">
        <f t="shared" si="7"/>
        <v>0</v>
      </c>
      <c r="AH10" s="51"/>
      <c r="AI10" s="51"/>
      <c r="AJ10" s="51"/>
      <c r="AK10" s="51"/>
      <c r="AL10" s="51"/>
      <c r="AM10" s="51"/>
      <c r="AN10" s="51"/>
      <c r="AO10" s="51"/>
      <c r="AP10" s="51"/>
      <c r="AQ10" s="51"/>
      <c r="AR10" s="51"/>
      <c r="AS10" s="51"/>
      <c r="AT10" s="52">
        <f aca="true" t="shared" si="25" ref="AT10:AT26">SUM(AG10:AS10)</f>
        <v>0</v>
      </c>
    </row>
    <row r="11" spans="1:46" ht="30" customHeight="1" thickBot="1">
      <c r="A11" s="38"/>
      <c r="B11" s="39"/>
      <c r="C11" s="39"/>
      <c r="D11" s="39">
        <f t="shared" si="1"/>
      </c>
      <c r="E11" s="39">
        <f t="shared" si="2"/>
      </c>
      <c r="F11" s="39"/>
      <c r="G11" s="40">
        <v>0</v>
      </c>
      <c r="H11" s="41">
        <v>0</v>
      </c>
      <c r="I11" s="41"/>
      <c r="J11" s="41">
        <f t="shared" si="8"/>
        <v>0</v>
      </c>
      <c r="K11" s="42">
        <f t="shared" si="9"/>
        <v>0</v>
      </c>
      <c r="L11" s="42">
        <f t="shared" si="0"/>
        <v>0</v>
      </c>
      <c r="M11" s="41">
        <f t="shared" si="10"/>
        <v>0</v>
      </c>
      <c r="N11" s="43">
        <f t="shared" si="11"/>
        <v>0</v>
      </c>
      <c r="O11" s="43">
        <f t="shared" si="12"/>
        <v>0</v>
      </c>
      <c r="P11" s="44">
        <f t="shared" si="13"/>
        <v>0</v>
      </c>
      <c r="Q11" s="45">
        <f t="shared" si="14"/>
        <v>0</v>
      </c>
      <c r="R11" s="40">
        <f t="shared" si="3"/>
        <v>0</v>
      </c>
      <c r="S11" s="46">
        <f t="shared" si="15"/>
        <v>0</v>
      </c>
      <c r="T11" s="46">
        <f t="shared" si="16"/>
        <v>0</v>
      </c>
      <c r="U11" s="46">
        <f t="shared" si="17"/>
        <v>0</v>
      </c>
      <c r="V11" s="46">
        <f t="shared" si="4"/>
        <v>0</v>
      </c>
      <c r="W11" s="46">
        <f t="shared" si="5"/>
        <v>0</v>
      </c>
      <c r="X11" s="46">
        <f t="shared" si="18"/>
        <v>0</v>
      </c>
      <c r="Y11" s="47">
        <f t="shared" si="19"/>
        <v>0</v>
      </c>
      <c r="Z11" s="137"/>
      <c r="AA11" s="34">
        <f t="shared" si="20"/>
        <v>0</v>
      </c>
      <c r="AB11" s="48" t="str">
        <f t="shared" si="6"/>
        <v>  Çocuklu</v>
      </c>
      <c r="AC11" s="34">
        <f t="shared" si="21"/>
        <v>0</v>
      </c>
      <c r="AD11" s="28">
        <f t="shared" si="22"/>
        <v>0</v>
      </c>
      <c r="AE11" s="49">
        <f t="shared" si="23"/>
        <v>0</v>
      </c>
      <c r="AF11" s="50">
        <f t="shared" si="24"/>
        <v>0</v>
      </c>
      <c r="AG11" s="51">
        <f t="shared" si="7"/>
        <v>0</v>
      </c>
      <c r="AH11" s="51"/>
      <c r="AI11" s="51"/>
      <c r="AJ11" s="51"/>
      <c r="AK11" s="51"/>
      <c r="AL11" s="51"/>
      <c r="AM11" s="51"/>
      <c r="AN11" s="51"/>
      <c r="AO11" s="51"/>
      <c r="AP11" s="51"/>
      <c r="AQ11" s="51"/>
      <c r="AR11" s="51"/>
      <c r="AS11" s="51"/>
      <c r="AT11" s="52">
        <f t="shared" si="25"/>
        <v>0</v>
      </c>
    </row>
    <row r="12" spans="1:46" ht="30" customHeight="1" thickBot="1">
      <c r="A12" s="38"/>
      <c r="B12" s="39"/>
      <c r="C12" s="39"/>
      <c r="D12" s="39">
        <f t="shared" si="1"/>
      </c>
      <c r="E12" s="39">
        <f t="shared" si="2"/>
      </c>
      <c r="F12" s="39"/>
      <c r="G12" s="40">
        <v>0</v>
      </c>
      <c r="H12" s="41">
        <v>0</v>
      </c>
      <c r="I12" s="41"/>
      <c r="J12" s="41">
        <f t="shared" si="8"/>
        <v>0</v>
      </c>
      <c r="K12" s="42">
        <f t="shared" si="9"/>
        <v>0</v>
      </c>
      <c r="L12" s="42">
        <f t="shared" si="0"/>
        <v>0</v>
      </c>
      <c r="M12" s="41">
        <f t="shared" si="10"/>
        <v>0</v>
      </c>
      <c r="N12" s="43">
        <f t="shared" si="11"/>
        <v>0</v>
      </c>
      <c r="O12" s="43">
        <f t="shared" si="12"/>
        <v>0</v>
      </c>
      <c r="P12" s="44">
        <f t="shared" si="13"/>
        <v>0</v>
      </c>
      <c r="Q12" s="45">
        <f t="shared" si="14"/>
        <v>0</v>
      </c>
      <c r="R12" s="40">
        <f t="shared" si="3"/>
        <v>0</v>
      </c>
      <c r="S12" s="46">
        <f t="shared" si="15"/>
        <v>0</v>
      </c>
      <c r="T12" s="46">
        <f t="shared" si="16"/>
        <v>0</v>
      </c>
      <c r="U12" s="46">
        <f t="shared" si="17"/>
        <v>0</v>
      </c>
      <c r="V12" s="46">
        <f t="shared" si="4"/>
        <v>0</v>
      </c>
      <c r="W12" s="46">
        <f t="shared" si="5"/>
        <v>0</v>
      </c>
      <c r="X12" s="46">
        <f t="shared" si="18"/>
        <v>0</v>
      </c>
      <c r="Y12" s="47">
        <f t="shared" si="19"/>
        <v>0</v>
      </c>
      <c r="Z12" s="137"/>
      <c r="AA12" s="34">
        <f t="shared" si="20"/>
        <v>0</v>
      </c>
      <c r="AB12" s="48" t="str">
        <f t="shared" si="6"/>
        <v>  Çocuklu</v>
      </c>
      <c r="AC12" s="34">
        <f t="shared" si="21"/>
        <v>0</v>
      </c>
      <c r="AD12" s="28">
        <f t="shared" si="22"/>
        <v>0</v>
      </c>
      <c r="AE12" s="49">
        <f t="shared" si="23"/>
        <v>0</v>
      </c>
      <c r="AF12" s="50">
        <f t="shared" si="24"/>
        <v>0</v>
      </c>
      <c r="AG12" s="51">
        <f t="shared" si="7"/>
        <v>0</v>
      </c>
      <c r="AH12" s="51"/>
      <c r="AI12" s="51"/>
      <c r="AJ12" s="51"/>
      <c r="AK12" s="51"/>
      <c r="AL12" s="51"/>
      <c r="AM12" s="51"/>
      <c r="AN12" s="51"/>
      <c r="AO12" s="51"/>
      <c r="AP12" s="51"/>
      <c r="AQ12" s="51"/>
      <c r="AR12" s="51"/>
      <c r="AS12" s="51"/>
      <c r="AT12" s="52">
        <f t="shared" si="25"/>
        <v>0</v>
      </c>
    </row>
    <row r="13" spans="1:46" ht="30" customHeight="1" thickBot="1">
      <c r="A13" s="38"/>
      <c r="B13" s="39"/>
      <c r="C13" s="39"/>
      <c r="D13" s="39">
        <f t="shared" si="1"/>
      </c>
      <c r="E13" s="39">
        <f t="shared" si="2"/>
      </c>
      <c r="F13" s="39"/>
      <c r="G13" s="40">
        <v>0</v>
      </c>
      <c r="H13" s="41">
        <v>0</v>
      </c>
      <c r="I13" s="41"/>
      <c r="J13" s="41">
        <f t="shared" si="8"/>
        <v>0</v>
      </c>
      <c r="K13" s="42">
        <f t="shared" si="9"/>
        <v>0</v>
      </c>
      <c r="L13" s="42">
        <f t="shared" si="0"/>
        <v>0</v>
      </c>
      <c r="M13" s="41">
        <f t="shared" si="10"/>
        <v>0</v>
      </c>
      <c r="N13" s="43">
        <f t="shared" si="11"/>
        <v>0</v>
      </c>
      <c r="O13" s="43">
        <f t="shared" si="12"/>
        <v>0</v>
      </c>
      <c r="P13" s="44">
        <f t="shared" si="13"/>
        <v>0</v>
      </c>
      <c r="Q13" s="45">
        <f t="shared" si="14"/>
        <v>0</v>
      </c>
      <c r="R13" s="40">
        <f t="shared" si="3"/>
        <v>0</v>
      </c>
      <c r="S13" s="46">
        <f t="shared" si="15"/>
        <v>0</v>
      </c>
      <c r="T13" s="46">
        <f t="shared" si="16"/>
        <v>0</v>
      </c>
      <c r="U13" s="46">
        <f t="shared" si="17"/>
        <v>0</v>
      </c>
      <c r="V13" s="46">
        <f t="shared" si="4"/>
        <v>0</v>
      </c>
      <c r="W13" s="46">
        <f t="shared" si="5"/>
        <v>0</v>
      </c>
      <c r="X13" s="46">
        <f t="shared" si="18"/>
        <v>0</v>
      </c>
      <c r="Y13" s="47">
        <f t="shared" si="19"/>
        <v>0</v>
      </c>
      <c r="Z13" s="137"/>
      <c r="AA13" s="34">
        <f t="shared" si="20"/>
        <v>0</v>
      </c>
      <c r="AB13" s="48" t="str">
        <f t="shared" si="6"/>
        <v>  Çocuklu</v>
      </c>
      <c r="AC13" s="34">
        <f t="shared" si="21"/>
        <v>0</v>
      </c>
      <c r="AD13" s="28">
        <f t="shared" si="22"/>
        <v>0</v>
      </c>
      <c r="AE13" s="49">
        <f t="shared" si="23"/>
        <v>0</v>
      </c>
      <c r="AF13" s="50">
        <f t="shared" si="24"/>
        <v>0</v>
      </c>
      <c r="AG13" s="51">
        <f t="shared" si="7"/>
        <v>0</v>
      </c>
      <c r="AH13" s="51"/>
      <c r="AI13" s="51"/>
      <c r="AJ13" s="51"/>
      <c r="AK13" s="51"/>
      <c r="AL13" s="51"/>
      <c r="AM13" s="51"/>
      <c r="AN13" s="51"/>
      <c r="AO13" s="51"/>
      <c r="AP13" s="51"/>
      <c r="AQ13" s="51"/>
      <c r="AR13" s="51"/>
      <c r="AS13" s="51"/>
      <c r="AT13" s="52">
        <f t="shared" si="25"/>
        <v>0</v>
      </c>
    </row>
    <row r="14" spans="1:46" ht="30" customHeight="1" thickBot="1">
      <c r="A14" s="38"/>
      <c r="B14" s="39"/>
      <c r="C14" s="39"/>
      <c r="D14" s="39">
        <f t="shared" si="1"/>
      </c>
      <c r="E14" s="39">
        <f t="shared" si="2"/>
      </c>
      <c r="F14" s="39"/>
      <c r="G14" s="40">
        <v>0</v>
      </c>
      <c r="H14" s="41">
        <v>0</v>
      </c>
      <c r="I14" s="41"/>
      <c r="J14" s="41">
        <f t="shared" si="8"/>
        <v>0</v>
      </c>
      <c r="K14" s="42">
        <f t="shared" si="9"/>
        <v>0</v>
      </c>
      <c r="L14" s="42">
        <f t="shared" si="0"/>
        <v>0</v>
      </c>
      <c r="M14" s="41">
        <f t="shared" si="10"/>
        <v>0</v>
      </c>
      <c r="N14" s="43">
        <f t="shared" si="11"/>
        <v>0</v>
      </c>
      <c r="O14" s="43">
        <f t="shared" si="12"/>
        <v>0</v>
      </c>
      <c r="P14" s="44">
        <f t="shared" si="13"/>
        <v>0</v>
      </c>
      <c r="Q14" s="45">
        <f t="shared" si="14"/>
        <v>0</v>
      </c>
      <c r="R14" s="40">
        <f t="shared" si="3"/>
        <v>0</v>
      </c>
      <c r="S14" s="46">
        <f t="shared" si="15"/>
        <v>0</v>
      </c>
      <c r="T14" s="46">
        <f t="shared" si="16"/>
        <v>0</v>
      </c>
      <c r="U14" s="46">
        <f t="shared" si="17"/>
        <v>0</v>
      </c>
      <c r="V14" s="46">
        <f t="shared" si="4"/>
        <v>0</v>
      </c>
      <c r="W14" s="46">
        <f t="shared" si="5"/>
        <v>0</v>
      </c>
      <c r="X14" s="46">
        <f t="shared" si="18"/>
        <v>0</v>
      </c>
      <c r="Y14" s="47">
        <f t="shared" si="19"/>
        <v>0</v>
      </c>
      <c r="Z14" s="137"/>
      <c r="AA14" s="34">
        <f t="shared" si="20"/>
        <v>0</v>
      </c>
      <c r="AB14" s="48" t="str">
        <f t="shared" si="6"/>
        <v>  Çocuklu</v>
      </c>
      <c r="AC14" s="34">
        <f t="shared" si="21"/>
        <v>0</v>
      </c>
      <c r="AD14" s="28">
        <f t="shared" si="22"/>
        <v>0</v>
      </c>
      <c r="AE14" s="49">
        <f t="shared" si="23"/>
        <v>0</v>
      </c>
      <c r="AF14" s="50">
        <f t="shared" si="24"/>
        <v>0</v>
      </c>
      <c r="AG14" s="51">
        <f t="shared" si="7"/>
        <v>0</v>
      </c>
      <c r="AH14" s="51"/>
      <c r="AI14" s="51"/>
      <c r="AJ14" s="51"/>
      <c r="AK14" s="51"/>
      <c r="AL14" s="51"/>
      <c r="AM14" s="51"/>
      <c r="AN14" s="51"/>
      <c r="AO14" s="51"/>
      <c r="AP14" s="51"/>
      <c r="AQ14" s="51"/>
      <c r="AR14" s="51"/>
      <c r="AS14" s="51"/>
      <c r="AT14" s="52">
        <f t="shared" si="25"/>
        <v>0</v>
      </c>
    </row>
    <row r="15" spans="1:46" ht="30" customHeight="1" thickBot="1">
      <c r="A15" s="38"/>
      <c r="B15" s="39"/>
      <c r="C15" s="39"/>
      <c r="D15" s="39">
        <f t="shared" si="1"/>
      </c>
      <c r="E15" s="39">
        <f t="shared" si="2"/>
      </c>
      <c r="F15" s="39"/>
      <c r="G15" s="40">
        <v>0</v>
      </c>
      <c r="H15" s="41">
        <v>0</v>
      </c>
      <c r="I15" s="41"/>
      <c r="J15" s="41">
        <f t="shared" si="8"/>
        <v>0</v>
      </c>
      <c r="K15" s="42">
        <f t="shared" si="9"/>
        <v>0</v>
      </c>
      <c r="L15" s="42">
        <f t="shared" si="0"/>
        <v>0</v>
      </c>
      <c r="M15" s="41">
        <f t="shared" si="10"/>
        <v>0</v>
      </c>
      <c r="N15" s="43">
        <f t="shared" si="11"/>
        <v>0</v>
      </c>
      <c r="O15" s="43">
        <f t="shared" si="12"/>
        <v>0</v>
      </c>
      <c r="P15" s="44">
        <f t="shared" si="13"/>
        <v>0</v>
      </c>
      <c r="Q15" s="45">
        <f t="shared" si="14"/>
        <v>0</v>
      </c>
      <c r="R15" s="40">
        <f t="shared" si="3"/>
        <v>0</v>
      </c>
      <c r="S15" s="46">
        <f t="shared" si="15"/>
        <v>0</v>
      </c>
      <c r="T15" s="46">
        <f t="shared" si="16"/>
        <v>0</v>
      </c>
      <c r="U15" s="46">
        <f t="shared" si="17"/>
        <v>0</v>
      </c>
      <c r="V15" s="46">
        <f t="shared" si="4"/>
        <v>0</v>
      </c>
      <c r="W15" s="46">
        <f t="shared" si="5"/>
        <v>0</v>
      </c>
      <c r="X15" s="46">
        <f t="shared" si="18"/>
        <v>0</v>
      </c>
      <c r="Y15" s="47">
        <f t="shared" si="19"/>
        <v>0</v>
      </c>
      <c r="Z15" s="137"/>
      <c r="AA15" s="34">
        <f t="shared" si="20"/>
        <v>0</v>
      </c>
      <c r="AB15" s="48" t="str">
        <f t="shared" si="6"/>
        <v>  Çocuklu</v>
      </c>
      <c r="AC15" s="34">
        <f t="shared" si="21"/>
        <v>0</v>
      </c>
      <c r="AD15" s="28">
        <f t="shared" si="22"/>
        <v>0</v>
      </c>
      <c r="AE15" s="49">
        <f t="shared" si="23"/>
        <v>0</v>
      </c>
      <c r="AF15" s="50">
        <f t="shared" si="24"/>
        <v>0</v>
      </c>
      <c r="AG15" s="51">
        <f t="shared" si="7"/>
        <v>0</v>
      </c>
      <c r="AH15" s="51"/>
      <c r="AI15" s="51"/>
      <c r="AJ15" s="51"/>
      <c r="AK15" s="51"/>
      <c r="AL15" s="51"/>
      <c r="AM15" s="51"/>
      <c r="AN15" s="51"/>
      <c r="AO15" s="51"/>
      <c r="AP15" s="51"/>
      <c r="AQ15" s="51"/>
      <c r="AR15" s="51"/>
      <c r="AS15" s="51"/>
      <c r="AT15" s="52">
        <f t="shared" si="25"/>
        <v>0</v>
      </c>
    </row>
    <row r="16" spans="1:46" ht="30" customHeight="1" thickBot="1">
      <c r="A16" s="38"/>
      <c r="B16" s="39"/>
      <c r="C16" s="39"/>
      <c r="D16" s="39">
        <f t="shared" si="1"/>
      </c>
      <c r="E16" s="39">
        <f t="shared" si="2"/>
      </c>
      <c r="F16" s="39"/>
      <c r="G16" s="40">
        <v>0</v>
      </c>
      <c r="H16" s="41">
        <v>0</v>
      </c>
      <c r="I16" s="41"/>
      <c r="J16" s="41">
        <f t="shared" si="8"/>
        <v>0</v>
      </c>
      <c r="K16" s="42">
        <f t="shared" si="9"/>
        <v>0</v>
      </c>
      <c r="L16" s="42">
        <f t="shared" si="0"/>
        <v>0</v>
      </c>
      <c r="M16" s="41">
        <f t="shared" si="10"/>
        <v>0</v>
      </c>
      <c r="N16" s="43">
        <f t="shared" si="11"/>
        <v>0</v>
      </c>
      <c r="O16" s="43">
        <f t="shared" si="12"/>
        <v>0</v>
      </c>
      <c r="P16" s="44">
        <f t="shared" si="13"/>
        <v>0</v>
      </c>
      <c r="Q16" s="45">
        <f t="shared" si="14"/>
        <v>0</v>
      </c>
      <c r="R16" s="40">
        <f t="shared" si="3"/>
        <v>0</v>
      </c>
      <c r="S16" s="46">
        <f t="shared" si="15"/>
        <v>0</v>
      </c>
      <c r="T16" s="46">
        <f t="shared" si="16"/>
        <v>0</v>
      </c>
      <c r="U16" s="46">
        <f t="shared" si="17"/>
        <v>0</v>
      </c>
      <c r="V16" s="46">
        <f t="shared" si="4"/>
        <v>0</v>
      </c>
      <c r="W16" s="46">
        <f t="shared" si="5"/>
        <v>0</v>
      </c>
      <c r="X16" s="46">
        <f t="shared" si="18"/>
        <v>0</v>
      </c>
      <c r="Y16" s="47">
        <f t="shared" si="19"/>
        <v>0</v>
      </c>
      <c r="Z16" s="137"/>
      <c r="AA16" s="34">
        <f t="shared" si="20"/>
        <v>0</v>
      </c>
      <c r="AB16" s="48" t="str">
        <f t="shared" si="6"/>
        <v>  Çocuklu</v>
      </c>
      <c r="AC16" s="34">
        <f t="shared" si="21"/>
        <v>0</v>
      </c>
      <c r="AD16" s="28">
        <f t="shared" si="22"/>
        <v>0</v>
      </c>
      <c r="AE16" s="49">
        <f t="shared" si="23"/>
        <v>0</v>
      </c>
      <c r="AF16" s="50">
        <f t="shared" si="24"/>
        <v>0</v>
      </c>
      <c r="AG16" s="51">
        <f t="shared" si="7"/>
        <v>0</v>
      </c>
      <c r="AH16" s="51"/>
      <c r="AI16" s="51"/>
      <c r="AJ16" s="51"/>
      <c r="AK16" s="51"/>
      <c r="AL16" s="51"/>
      <c r="AM16" s="51"/>
      <c r="AN16" s="51"/>
      <c r="AO16" s="51"/>
      <c r="AP16" s="51"/>
      <c r="AQ16" s="51"/>
      <c r="AR16" s="51"/>
      <c r="AS16" s="51"/>
      <c r="AT16" s="52">
        <f t="shared" si="25"/>
        <v>0</v>
      </c>
    </row>
    <row r="17" spans="1:46" ht="30" customHeight="1" thickBot="1">
      <c r="A17" s="38"/>
      <c r="B17" s="39"/>
      <c r="C17" s="39"/>
      <c r="D17" s="39">
        <f t="shared" si="1"/>
      </c>
      <c r="E17" s="39">
        <f t="shared" si="2"/>
      </c>
      <c r="F17" s="39"/>
      <c r="G17" s="40">
        <v>0</v>
      </c>
      <c r="H17" s="41">
        <v>0</v>
      </c>
      <c r="I17" s="41"/>
      <c r="J17" s="41">
        <f t="shared" si="8"/>
        <v>0</v>
      </c>
      <c r="K17" s="42">
        <f t="shared" si="9"/>
        <v>0</v>
      </c>
      <c r="L17" s="42">
        <f t="shared" si="0"/>
        <v>0</v>
      </c>
      <c r="M17" s="41">
        <f t="shared" si="10"/>
        <v>0</v>
      </c>
      <c r="N17" s="43">
        <f t="shared" si="11"/>
        <v>0</v>
      </c>
      <c r="O17" s="43">
        <f t="shared" si="12"/>
        <v>0</v>
      </c>
      <c r="P17" s="44">
        <f t="shared" si="13"/>
        <v>0</v>
      </c>
      <c r="Q17" s="45">
        <f t="shared" si="14"/>
        <v>0</v>
      </c>
      <c r="R17" s="40">
        <f t="shared" si="3"/>
        <v>0</v>
      </c>
      <c r="S17" s="46">
        <f t="shared" si="15"/>
        <v>0</v>
      </c>
      <c r="T17" s="46">
        <f t="shared" si="16"/>
        <v>0</v>
      </c>
      <c r="U17" s="46">
        <f t="shared" si="17"/>
        <v>0</v>
      </c>
      <c r="V17" s="46">
        <f t="shared" si="4"/>
        <v>0</v>
      </c>
      <c r="W17" s="46">
        <f t="shared" si="5"/>
        <v>0</v>
      </c>
      <c r="X17" s="46">
        <f t="shared" si="18"/>
        <v>0</v>
      </c>
      <c r="Y17" s="47">
        <f t="shared" si="19"/>
        <v>0</v>
      </c>
      <c r="Z17" s="137"/>
      <c r="AA17" s="34">
        <f t="shared" si="20"/>
        <v>0</v>
      </c>
      <c r="AB17" s="48" t="str">
        <f t="shared" si="6"/>
        <v>  Çocuklu</v>
      </c>
      <c r="AC17" s="34">
        <f t="shared" si="21"/>
        <v>0</v>
      </c>
      <c r="AD17" s="28">
        <f t="shared" si="22"/>
        <v>0</v>
      </c>
      <c r="AE17" s="49">
        <f t="shared" si="23"/>
        <v>0</v>
      </c>
      <c r="AF17" s="50">
        <f t="shared" si="24"/>
        <v>0</v>
      </c>
      <c r="AG17" s="51">
        <f t="shared" si="7"/>
        <v>0</v>
      </c>
      <c r="AH17" s="51"/>
      <c r="AI17" s="51"/>
      <c r="AJ17" s="51"/>
      <c r="AK17" s="51"/>
      <c r="AL17" s="51"/>
      <c r="AM17" s="51"/>
      <c r="AN17" s="51"/>
      <c r="AO17" s="51"/>
      <c r="AP17" s="51"/>
      <c r="AQ17" s="51"/>
      <c r="AR17" s="51"/>
      <c r="AS17" s="51"/>
      <c r="AT17" s="52">
        <f t="shared" si="25"/>
        <v>0</v>
      </c>
    </row>
    <row r="18" spans="1:46" ht="30" customHeight="1" thickBot="1">
      <c r="A18" s="38"/>
      <c r="B18" s="39"/>
      <c r="C18" s="39"/>
      <c r="D18" s="39">
        <f t="shared" si="1"/>
      </c>
      <c r="E18" s="39">
        <f t="shared" si="2"/>
      </c>
      <c r="F18" s="39"/>
      <c r="G18" s="40">
        <v>0</v>
      </c>
      <c r="H18" s="41">
        <v>0</v>
      </c>
      <c r="I18" s="41"/>
      <c r="J18" s="41">
        <f t="shared" si="8"/>
        <v>0</v>
      </c>
      <c r="K18" s="42">
        <f t="shared" si="9"/>
        <v>0</v>
      </c>
      <c r="L18" s="42">
        <f t="shared" si="0"/>
        <v>0</v>
      </c>
      <c r="M18" s="41">
        <f t="shared" si="10"/>
        <v>0</v>
      </c>
      <c r="N18" s="43">
        <f t="shared" si="11"/>
        <v>0</v>
      </c>
      <c r="O18" s="43">
        <f t="shared" si="12"/>
        <v>0</v>
      </c>
      <c r="P18" s="44">
        <f t="shared" si="13"/>
        <v>0</v>
      </c>
      <c r="Q18" s="45">
        <f t="shared" si="14"/>
        <v>0</v>
      </c>
      <c r="R18" s="40">
        <f t="shared" si="3"/>
        <v>0</v>
      </c>
      <c r="S18" s="46">
        <f t="shared" si="15"/>
        <v>0</v>
      </c>
      <c r="T18" s="46">
        <f t="shared" si="16"/>
        <v>0</v>
      </c>
      <c r="U18" s="46">
        <f t="shared" si="17"/>
        <v>0</v>
      </c>
      <c r="V18" s="46">
        <f t="shared" si="4"/>
        <v>0</v>
      </c>
      <c r="W18" s="46">
        <f t="shared" si="5"/>
        <v>0</v>
      </c>
      <c r="X18" s="46">
        <f t="shared" si="18"/>
        <v>0</v>
      </c>
      <c r="Y18" s="47">
        <f t="shared" si="19"/>
        <v>0</v>
      </c>
      <c r="Z18" s="137"/>
      <c r="AA18" s="34">
        <f t="shared" si="20"/>
        <v>0</v>
      </c>
      <c r="AB18" s="48" t="str">
        <f t="shared" si="6"/>
        <v>  Çocuklu</v>
      </c>
      <c r="AC18" s="34">
        <f t="shared" si="21"/>
        <v>0</v>
      </c>
      <c r="AD18" s="28">
        <f t="shared" si="22"/>
        <v>0</v>
      </c>
      <c r="AE18" s="49">
        <f t="shared" si="23"/>
        <v>0</v>
      </c>
      <c r="AF18" s="50">
        <f t="shared" si="24"/>
        <v>0</v>
      </c>
      <c r="AG18" s="51">
        <f t="shared" si="7"/>
        <v>0</v>
      </c>
      <c r="AH18" s="51"/>
      <c r="AI18" s="51"/>
      <c r="AJ18" s="51"/>
      <c r="AK18" s="51"/>
      <c r="AL18" s="51"/>
      <c r="AM18" s="51"/>
      <c r="AN18" s="51"/>
      <c r="AO18" s="51"/>
      <c r="AP18" s="51"/>
      <c r="AQ18" s="51"/>
      <c r="AR18" s="51"/>
      <c r="AS18" s="51"/>
      <c r="AT18" s="52">
        <f t="shared" si="25"/>
        <v>0</v>
      </c>
    </row>
    <row r="19" spans="1:46" ht="30" customHeight="1" thickBot="1">
      <c r="A19" s="38"/>
      <c r="B19" s="39"/>
      <c r="C19" s="39"/>
      <c r="D19" s="39">
        <f t="shared" si="1"/>
      </c>
      <c r="E19" s="39">
        <f t="shared" si="2"/>
      </c>
      <c r="F19" s="39"/>
      <c r="G19" s="40">
        <v>0</v>
      </c>
      <c r="H19" s="41">
        <v>0</v>
      </c>
      <c r="I19" s="41"/>
      <c r="J19" s="41">
        <f t="shared" si="8"/>
        <v>0</v>
      </c>
      <c r="K19" s="42">
        <f t="shared" si="9"/>
        <v>0</v>
      </c>
      <c r="L19" s="42">
        <f t="shared" si="0"/>
        <v>0</v>
      </c>
      <c r="M19" s="41">
        <f t="shared" si="10"/>
        <v>0</v>
      </c>
      <c r="N19" s="43">
        <f t="shared" si="11"/>
        <v>0</v>
      </c>
      <c r="O19" s="43">
        <f t="shared" si="12"/>
        <v>0</v>
      </c>
      <c r="P19" s="44">
        <f t="shared" si="13"/>
        <v>0</v>
      </c>
      <c r="Q19" s="45">
        <f t="shared" si="14"/>
        <v>0</v>
      </c>
      <c r="R19" s="40">
        <f t="shared" si="3"/>
        <v>0</v>
      </c>
      <c r="S19" s="46">
        <f t="shared" si="15"/>
        <v>0</v>
      </c>
      <c r="T19" s="46">
        <f t="shared" si="16"/>
        <v>0</v>
      </c>
      <c r="U19" s="46">
        <f t="shared" si="17"/>
        <v>0</v>
      </c>
      <c r="V19" s="46">
        <f t="shared" si="4"/>
        <v>0</v>
      </c>
      <c r="W19" s="46">
        <f t="shared" si="5"/>
        <v>0</v>
      </c>
      <c r="X19" s="46">
        <f t="shared" si="18"/>
        <v>0</v>
      </c>
      <c r="Y19" s="47">
        <f t="shared" si="19"/>
        <v>0</v>
      </c>
      <c r="Z19" s="137"/>
      <c r="AA19" s="34">
        <f t="shared" si="20"/>
        <v>0</v>
      </c>
      <c r="AB19" s="48" t="str">
        <f t="shared" si="6"/>
        <v>  Çocuklu</v>
      </c>
      <c r="AC19" s="34">
        <f t="shared" si="21"/>
        <v>0</v>
      </c>
      <c r="AD19" s="28">
        <f t="shared" si="22"/>
        <v>0</v>
      </c>
      <c r="AE19" s="49">
        <f t="shared" si="23"/>
        <v>0</v>
      </c>
      <c r="AF19" s="50">
        <f t="shared" si="24"/>
        <v>0</v>
      </c>
      <c r="AG19" s="51">
        <f t="shared" si="7"/>
        <v>0</v>
      </c>
      <c r="AH19" s="51"/>
      <c r="AI19" s="51"/>
      <c r="AJ19" s="51"/>
      <c r="AK19" s="51"/>
      <c r="AL19" s="51"/>
      <c r="AM19" s="51"/>
      <c r="AN19" s="51"/>
      <c r="AO19" s="51"/>
      <c r="AP19" s="51"/>
      <c r="AQ19" s="51"/>
      <c r="AR19" s="51"/>
      <c r="AS19" s="51"/>
      <c r="AT19" s="52">
        <f t="shared" si="25"/>
        <v>0</v>
      </c>
    </row>
    <row r="20" spans="1:46" ht="30" customHeight="1" thickBot="1">
      <c r="A20" s="38"/>
      <c r="B20" s="39"/>
      <c r="C20" s="39"/>
      <c r="D20" s="39">
        <f t="shared" si="1"/>
      </c>
      <c r="E20" s="39">
        <f t="shared" si="2"/>
      </c>
      <c r="F20" s="39"/>
      <c r="G20" s="40">
        <v>0</v>
      </c>
      <c r="H20" s="41">
        <v>0</v>
      </c>
      <c r="I20" s="41"/>
      <c r="J20" s="41">
        <f t="shared" si="8"/>
        <v>0</v>
      </c>
      <c r="K20" s="42">
        <f t="shared" si="9"/>
        <v>0</v>
      </c>
      <c r="L20" s="42">
        <f t="shared" si="0"/>
        <v>0</v>
      </c>
      <c r="M20" s="41">
        <f t="shared" si="10"/>
        <v>0</v>
      </c>
      <c r="N20" s="43">
        <f t="shared" si="11"/>
        <v>0</v>
      </c>
      <c r="O20" s="43">
        <f t="shared" si="12"/>
        <v>0</v>
      </c>
      <c r="P20" s="44">
        <f t="shared" si="13"/>
        <v>0</v>
      </c>
      <c r="Q20" s="45">
        <f t="shared" si="14"/>
        <v>0</v>
      </c>
      <c r="R20" s="40">
        <f t="shared" si="3"/>
        <v>0</v>
      </c>
      <c r="S20" s="46">
        <f t="shared" si="15"/>
        <v>0</v>
      </c>
      <c r="T20" s="46">
        <f t="shared" si="16"/>
        <v>0</v>
      </c>
      <c r="U20" s="46">
        <f t="shared" si="17"/>
        <v>0</v>
      </c>
      <c r="V20" s="46">
        <f t="shared" si="4"/>
        <v>0</v>
      </c>
      <c r="W20" s="46">
        <f t="shared" si="5"/>
        <v>0</v>
      </c>
      <c r="X20" s="46">
        <f t="shared" si="18"/>
        <v>0</v>
      </c>
      <c r="Y20" s="47">
        <f t="shared" si="19"/>
        <v>0</v>
      </c>
      <c r="Z20" s="137"/>
      <c r="AA20" s="34">
        <f t="shared" si="20"/>
        <v>0</v>
      </c>
      <c r="AB20" s="48" t="str">
        <f t="shared" si="6"/>
        <v>  Çocuklu</v>
      </c>
      <c r="AC20" s="34">
        <f t="shared" si="21"/>
        <v>0</v>
      </c>
      <c r="AD20" s="28">
        <f t="shared" si="22"/>
        <v>0</v>
      </c>
      <c r="AE20" s="49">
        <f t="shared" si="23"/>
        <v>0</v>
      </c>
      <c r="AF20" s="50">
        <f t="shared" si="24"/>
        <v>0</v>
      </c>
      <c r="AG20" s="51">
        <f t="shared" si="7"/>
        <v>0</v>
      </c>
      <c r="AH20" s="51"/>
      <c r="AI20" s="51"/>
      <c r="AJ20" s="51"/>
      <c r="AK20" s="51"/>
      <c r="AL20" s="51"/>
      <c r="AM20" s="51"/>
      <c r="AN20" s="51"/>
      <c r="AO20" s="51"/>
      <c r="AP20" s="51"/>
      <c r="AQ20" s="51"/>
      <c r="AR20" s="51"/>
      <c r="AS20" s="51"/>
      <c r="AT20" s="52">
        <f t="shared" si="25"/>
        <v>0</v>
      </c>
    </row>
    <row r="21" spans="1:46" ht="30" customHeight="1" thickBot="1">
      <c r="A21" s="38"/>
      <c r="B21" s="39"/>
      <c r="C21" s="39"/>
      <c r="D21" s="39">
        <f t="shared" si="1"/>
      </c>
      <c r="E21" s="39">
        <f t="shared" si="2"/>
      </c>
      <c r="F21" s="39"/>
      <c r="G21" s="40">
        <v>0</v>
      </c>
      <c r="H21" s="41">
        <v>0</v>
      </c>
      <c r="I21" s="41"/>
      <c r="J21" s="41">
        <f t="shared" si="8"/>
        <v>0</v>
      </c>
      <c r="K21" s="42">
        <f t="shared" si="9"/>
        <v>0</v>
      </c>
      <c r="L21" s="42">
        <f t="shared" si="0"/>
        <v>0</v>
      </c>
      <c r="M21" s="41">
        <f t="shared" si="10"/>
        <v>0</v>
      </c>
      <c r="N21" s="43">
        <f t="shared" si="11"/>
        <v>0</v>
      </c>
      <c r="O21" s="43">
        <f t="shared" si="12"/>
        <v>0</v>
      </c>
      <c r="P21" s="44">
        <f t="shared" si="13"/>
        <v>0</v>
      </c>
      <c r="Q21" s="45">
        <f t="shared" si="14"/>
        <v>0</v>
      </c>
      <c r="R21" s="40">
        <f t="shared" si="3"/>
        <v>0</v>
      </c>
      <c r="S21" s="46">
        <f t="shared" si="15"/>
        <v>0</v>
      </c>
      <c r="T21" s="46">
        <f t="shared" si="16"/>
        <v>0</v>
      </c>
      <c r="U21" s="46">
        <f t="shared" si="17"/>
        <v>0</v>
      </c>
      <c r="V21" s="46">
        <f t="shared" si="4"/>
        <v>0</v>
      </c>
      <c r="W21" s="46">
        <f t="shared" si="5"/>
        <v>0</v>
      </c>
      <c r="X21" s="46">
        <f t="shared" si="18"/>
        <v>0</v>
      </c>
      <c r="Y21" s="47">
        <f t="shared" si="19"/>
        <v>0</v>
      </c>
      <c r="Z21" s="137"/>
      <c r="AA21" s="34">
        <f t="shared" si="20"/>
        <v>0</v>
      </c>
      <c r="AB21" s="48" t="str">
        <f t="shared" si="6"/>
        <v>  Çocuklu</v>
      </c>
      <c r="AC21" s="34">
        <f t="shared" si="21"/>
        <v>0</v>
      </c>
      <c r="AD21" s="28">
        <f t="shared" si="22"/>
        <v>0</v>
      </c>
      <c r="AE21" s="49">
        <f t="shared" si="23"/>
        <v>0</v>
      </c>
      <c r="AF21" s="50">
        <f t="shared" si="24"/>
        <v>0</v>
      </c>
      <c r="AG21" s="51">
        <f t="shared" si="7"/>
        <v>0</v>
      </c>
      <c r="AH21" s="51"/>
      <c r="AI21" s="51"/>
      <c r="AJ21" s="51"/>
      <c r="AK21" s="51"/>
      <c r="AL21" s="51"/>
      <c r="AM21" s="51"/>
      <c r="AN21" s="51"/>
      <c r="AO21" s="51"/>
      <c r="AP21" s="51"/>
      <c r="AQ21" s="51"/>
      <c r="AR21" s="51"/>
      <c r="AS21" s="51"/>
      <c r="AT21" s="52">
        <f t="shared" si="25"/>
        <v>0</v>
      </c>
    </row>
    <row r="22" spans="1:46" ht="30" customHeight="1" thickBot="1">
      <c r="A22" s="38"/>
      <c r="B22" s="39"/>
      <c r="C22" s="39"/>
      <c r="D22" s="39">
        <f t="shared" si="1"/>
      </c>
      <c r="E22" s="39">
        <f t="shared" si="2"/>
      </c>
      <c r="F22" s="39"/>
      <c r="G22" s="40">
        <v>0</v>
      </c>
      <c r="H22" s="41">
        <v>0</v>
      </c>
      <c r="I22" s="41"/>
      <c r="J22" s="41">
        <f t="shared" si="8"/>
        <v>0</v>
      </c>
      <c r="K22" s="42">
        <f t="shared" si="9"/>
        <v>0</v>
      </c>
      <c r="L22" s="42">
        <f t="shared" si="0"/>
        <v>0</v>
      </c>
      <c r="M22" s="41">
        <f t="shared" si="10"/>
        <v>0</v>
      </c>
      <c r="N22" s="43">
        <f t="shared" si="11"/>
        <v>0</v>
      </c>
      <c r="O22" s="43">
        <f t="shared" si="12"/>
        <v>0</v>
      </c>
      <c r="P22" s="44">
        <f t="shared" si="13"/>
        <v>0</v>
      </c>
      <c r="Q22" s="45">
        <f t="shared" si="14"/>
        <v>0</v>
      </c>
      <c r="R22" s="40">
        <f t="shared" si="3"/>
        <v>0</v>
      </c>
      <c r="S22" s="46">
        <f t="shared" si="15"/>
        <v>0</v>
      </c>
      <c r="T22" s="46">
        <f t="shared" si="16"/>
        <v>0</v>
      </c>
      <c r="U22" s="46">
        <f t="shared" si="17"/>
        <v>0</v>
      </c>
      <c r="V22" s="46">
        <f t="shared" si="4"/>
        <v>0</v>
      </c>
      <c r="W22" s="46">
        <f t="shared" si="5"/>
        <v>0</v>
      </c>
      <c r="X22" s="46">
        <f t="shared" si="18"/>
        <v>0</v>
      </c>
      <c r="Y22" s="47">
        <f t="shared" si="19"/>
        <v>0</v>
      </c>
      <c r="Z22" s="137"/>
      <c r="AA22" s="34">
        <f t="shared" si="20"/>
        <v>0</v>
      </c>
      <c r="AB22" s="48" t="str">
        <f t="shared" si="6"/>
        <v>  Çocuklu</v>
      </c>
      <c r="AC22" s="34">
        <f t="shared" si="21"/>
        <v>0</v>
      </c>
      <c r="AD22" s="28">
        <f t="shared" si="22"/>
        <v>0</v>
      </c>
      <c r="AE22" s="49">
        <f t="shared" si="23"/>
        <v>0</v>
      </c>
      <c r="AF22" s="50">
        <f t="shared" si="24"/>
        <v>0</v>
      </c>
      <c r="AG22" s="51">
        <f t="shared" si="7"/>
        <v>0</v>
      </c>
      <c r="AH22" s="51"/>
      <c r="AI22" s="51"/>
      <c r="AJ22" s="51"/>
      <c r="AK22" s="51"/>
      <c r="AL22" s="51"/>
      <c r="AM22" s="51"/>
      <c r="AN22" s="51"/>
      <c r="AO22" s="51"/>
      <c r="AP22" s="51"/>
      <c r="AQ22" s="51"/>
      <c r="AR22" s="51"/>
      <c r="AS22" s="51"/>
      <c r="AT22" s="52">
        <f t="shared" si="25"/>
        <v>0</v>
      </c>
    </row>
    <row r="23" spans="1:46" ht="30" customHeight="1" thickBot="1">
      <c r="A23" s="38"/>
      <c r="B23" s="39"/>
      <c r="C23" s="39"/>
      <c r="D23" s="39">
        <f t="shared" si="1"/>
      </c>
      <c r="E23" s="39">
        <f t="shared" si="2"/>
      </c>
      <c r="F23" s="39"/>
      <c r="G23" s="40">
        <v>0</v>
      </c>
      <c r="H23" s="41">
        <v>0</v>
      </c>
      <c r="I23" s="41"/>
      <c r="J23" s="41">
        <f t="shared" si="8"/>
        <v>0</v>
      </c>
      <c r="K23" s="42">
        <f t="shared" si="9"/>
        <v>0</v>
      </c>
      <c r="L23" s="42">
        <f t="shared" si="0"/>
        <v>0</v>
      </c>
      <c r="M23" s="41">
        <f t="shared" si="10"/>
        <v>0</v>
      </c>
      <c r="N23" s="43">
        <f t="shared" si="11"/>
        <v>0</v>
      </c>
      <c r="O23" s="43">
        <f t="shared" si="12"/>
        <v>0</v>
      </c>
      <c r="P23" s="44">
        <f t="shared" si="13"/>
        <v>0</v>
      </c>
      <c r="Q23" s="45">
        <f t="shared" si="14"/>
        <v>0</v>
      </c>
      <c r="R23" s="40">
        <f t="shared" si="3"/>
        <v>0</v>
      </c>
      <c r="S23" s="46">
        <f t="shared" si="15"/>
        <v>0</v>
      </c>
      <c r="T23" s="46">
        <f t="shared" si="16"/>
        <v>0</v>
      </c>
      <c r="U23" s="46">
        <f t="shared" si="17"/>
        <v>0</v>
      </c>
      <c r="V23" s="46">
        <f t="shared" si="4"/>
        <v>0</v>
      </c>
      <c r="W23" s="46">
        <f t="shared" si="5"/>
        <v>0</v>
      </c>
      <c r="X23" s="46">
        <f t="shared" si="18"/>
        <v>0</v>
      </c>
      <c r="Y23" s="47">
        <f t="shared" si="19"/>
        <v>0</v>
      </c>
      <c r="Z23" s="137"/>
      <c r="AA23" s="34">
        <f t="shared" si="20"/>
        <v>0</v>
      </c>
      <c r="AB23" s="48" t="str">
        <f t="shared" si="6"/>
        <v>  Çocuklu</v>
      </c>
      <c r="AC23" s="34">
        <f t="shared" si="21"/>
        <v>0</v>
      </c>
      <c r="AD23" s="28">
        <f t="shared" si="22"/>
        <v>0</v>
      </c>
      <c r="AE23" s="49">
        <f t="shared" si="23"/>
        <v>0</v>
      </c>
      <c r="AF23" s="50">
        <f t="shared" si="24"/>
        <v>0</v>
      </c>
      <c r="AG23" s="51">
        <f t="shared" si="7"/>
        <v>0</v>
      </c>
      <c r="AH23" s="51"/>
      <c r="AI23" s="51"/>
      <c r="AJ23" s="51"/>
      <c r="AK23" s="51"/>
      <c r="AL23" s="51"/>
      <c r="AM23" s="51"/>
      <c r="AN23" s="51"/>
      <c r="AO23" s="51"/>
      <c r="AP23" s="51"/>
      <c r="AQ23" s="51"/>
      <c r="AR23" s="51"/>
      <c r="AS23" s="51"/>
      <c r="AT23" s="52">
        <f t="shared" si="25"/>
        <v>0</v>
      </c>
    </row>
    <row r="24" spans="1:46" ht="30" customHeight="1" thickBot="1">
      <c r="A24" s="38"/>
      <c r="B24" s="39"/>
      <c r="C24" s="39"/>
      <c r="D24" s="39">
        <f t="shared" si="1"/>
      </c>
      <c r="E24" s="39">
        <f t="shared" si="2"/>
      </c>
      <c r="F24" s="39"/>
      <c r="G24" s="40">
        <v>0</v>
      </c>
      <c r="H24" s="41">
        <v>0</v>
      </c>
      <c r="I24" s="41"/>
      <c r="J24" s="41">
        <f t="shared" si="8"/>
        <v>0</v>
      </c>
      <c r="K24" s="42">
        <f t="shared" si="9"/>
        <v>0</v>
      </c>
      <c r="L24" s="42">
        <f t="shared" si="0"/>
        <v>0</v>
      </c>
      <c r="M24" s="41">
        <f t="shared" si="10"/>
        <v>0</v>
      </c>
      <c r="N24" s="43">
        <f t="shared" si="11"/>
        <v>0</v>
      </c>
      <c r="O24" s="43">
        <f t="shared" si="12"/>
        <v>0</v>
      </c>
      <c r="P24" s="44">
        <f t="shared" si="13"/>
        <v>0</v>
      </c>
      <c r="Q24" s="45">
        <f t="shared" si="14"/>
        <v>0</v>
      </c>
      <c r="R24" s="40">
        <f t="shared" si="3"/>
        <v>0</v>
      </c>
      <c r="S24" s="46">
        <f t="shared" si="15"/>
        <v>0</v>
      </c>
      <c r="T24" s="46">
        <f t="shared" si="16"/>
        <v>0</v>
      </c>
      <c r="U24" s="46">
        <f t="shared" si="17"/>
        <v>0</v>
      </c>
      <c r="V24" s="46">
        <f t="shared" si="4"/>
        <v>0</v>
      </c>
      <c r="W24" s="46">
        <f t="shared" si="5"/>
        <v>0</v>
      </c>
      <c r="X24" s="46">
        <f t="shared" si="18"/>
        <v>0</v>
      </c>
      <c r="Y24" s="47">
        <f t="shared" si="19"/>
        <v>0</v>
      </c>
      <c r="Z24" s="137"/>
      <c r="AA24" s="34">
        <f t="shared" si="20"/>
        <v>0</v>
      </c>
      <c r="AB24" s="48" t="str">
        <f t="shared" si="6"/>
        <v>  Çocuklu</v>
      </c>
      <c r="AC24" s="34">
        <f t="shared" si="21"/>
        <v>0</v>
      </c>
      <c r="AD24" s="28">
        <f t="shared" si="22"/>
        <v>0</v>
      </c>
      <c r="AE24" s="49">
        <f t="shared" si="23"/>
        <v>0</v>
      </c>
      <c r="AF24" s="50">
        <f t="shared" si="24"/>
        <v>0</v>
      </c>
      <c r="AG24" s="51">
        <f t="shared" si="7"/>
        <v>0</v>
      </c>
      <c r="AH24" s="51"/>
      <c r="AI24" s="51"/>
      <c r="AJ24" s="51"/>
      <c r="AK24" s="51"/>
      <c r="AL24" s="51"/>
      <c r="AM24" s="51"/>
      <c r="AN24" s="51"/>
      <c r="AO24" s="51"/>
      <c r="AP24" s="51"/>
      <c r="AQ24" s="51"/>
      <c r="AR24" s="51"/>
      <c r="AS24" s="51"/>
      <c r="AT24" s="52">
        <f t="shared" si="25"/>
        <v>0</v>
      </c>
    </row>
    <row r="25" spans="1:46" ht="30" customHeight="1" thickBot="1">
      <c r="A25" s="38"/>
      <c r="B25" s="39"/>
      <c r="C25" s="39"/>
      <c r="D25" s="39">
        <f t="shared" si="1"/>
      </c>
      <c r="E25" s="39">
        <f t="shared" si="2"/>
      </c>
      <c r="F25" s="39"/>
      <c r="G25" s="40">
        <v>0</v>
      </c>
      <c r="H25" s="41">
        <v>0</v>
      </c>
      <c r="I25" s="41"/>
      <c r="J25" s="41">
        <f t="shared" si="8"/>
        <v>0</v>
      </c>
      <c r="K25" s="42">
        <f t="shared" si="9"/>
        <v>0</v>
      </c>
      <c r="L25" s="42">
        <f t="shared" si="0"/>
        <v>0</v>
      </c>
      <c r="M25" s="41">
        <f t="shared" si="10"/>
        <v>0</v>
      </c>
      <c r="N25" s="43">
        <f t="shared" si="11"/>
        <v>0</v>
      </c>
      <c r="O25" s="43">
        <f t="shared" si="12"/>
        <v>0</v>
      </c>
      <c r="P25" s="44">
        <f t="shared" si="13"/>
        <v>0</v>
      </c>
      <c r="Q25" s="45">
        <f t="shared" si="14"/>
        <v>0</v>
      </c>
      <c r="R25" s="40">
        <f t="shared" si="3"/>
        <v>0</v>
      </c>
      <c r="S25" s="46">
        <f t="shared" si="15"/>
        <v>0</v>
      </c>
      <c r="T25" s="46">
        <f t="shared" si="16"/>
        <v>0</v>
      </c>
      <c r="U25" s="46">
        <f t="shared" si="17"/>
        <v>0</v>
      </c>
      <c r="V25" s="46">
        <f t="shared" si="4"/>
        <v>0</v>
      </c>
      <c r="W25" s="46">
        <f t="shared" si="5"/>
        <v>0</v>
      </c>
      <c r="X25" s="46">
        <f t="shared" si="18"/>
        <v>0</v>
      </c>
      <c r="Y25" s="47">
        <f t="shared" si="19"/>
        <v>0</v>
      </c>
      <c r="Z25" s="137"/>
      <c r="AA25" s="34">
        <f t="shared" si="20"/>
        <v>0</v>
      </c>
      <c r="AB25" s="48" t="str">
        <f t="shared" si="6"/>
        <v>  Çocuklu</v>
      </c>
      <c r="AC25" s="34">
        <f t="shared" si="21"/>
        <v>0</v>
      </c>
      <c r="AD25" s="28">
        <f t="shared" si="22"/>
        <v>0</v>
      </c>
      <c r="AE25" s="49">
        <f t="shared" si="23"/>
        <v>0</v>
      </c>
      <c r="AF25" s="50">
        <f t="shared" si="24"/>
        <v>0</v>
      </c>
      <c r="AG25" s="51">
        <f t="shared" si="7"/>
        <v>0</v>
      </c>
      <c r="AH25" s="51"/>
      <c r="AI25" s="51"/>
      <c r="AJ25" s="51"/>
      <c r="AK25" s="51"/>
      <c r="AL25" s="51"/>
      <c r="AM25" s="51"/>
      <c r="AN25" s="51"/>
      <c r="AO25" s="51"/>
      <c r="AP25" s="51"/>
      <c r="AQ25" s="51"/>
      <c r="AR25" s="51"/>
      <c r="AS25" s="51"/>
      <c r="AT25" s="52">
        <f t="shared" si="25"/>
        <v>0</v>
      </c>
    </row>
    <row r="26" spans="1:46" ht="30" customHeight="1" thickBot="1">
      <c r="A26" s="38"/>
      <c r="B26" s="39"/>
      <c r="C26" s="39"/>
      <c r="D26" s="39">
        <f t="shared" si="1"/>
      </c>
      <c r="E26" s="39">
        <f t="shared" si="2"/>
      </c>
      <c r="F26" s="39"/>
      <c r="G26" s="40">
        <v>0</v>
      </c>
      <c r="H26" s="41">
        <v>0</v>
      </c>
      <c r="I26" s="41"/>
      <c r="J26" s="41">
        <f t="shared" si="8"/>
        <v>0</v>
      </c>
      <c r="K26" s="42">
        <f t="shared" si="9"/>
        <v>0</v>
      </c>
      <c r="L26" s="42">
        <f t="shared" si="0"/>
        <v>0</v>
      </c>
      <c r="M26" s="41">
        <f t="shared" si="10"/>
        <v>0</v>
      </c>
      <c r="N26" s="43">
        <f t="shared" si="11"/>
        <v>0</v>
      </c>
      <c r="O26" s="43">
        <f t="shared" si="12"/>
        <v>0</v>
      </c>
      <c r="P26" s="44">
        <f t="shared" si="13"/>
        <v>0</v>
      </c>
      <c r="Q26" s="45">
        <f t="shared" si="14"/>
        <v>0</v>
      </c>
      <c r="R26" s="40">
        <f t="shared" si="3"/>
        <v>0</v>
      </c>
      <c r="S26" s="46">
        <f t="shared" si="15"/>
        <v>0</v>
      </c>
      <c r="T26" s="46">
        <f t="shared" si="16"/>
        <v>0</v>
      </c>
      <c r="U26" s="46">
        <f t="shared" si="17"/>
        <v>0</v>
      </c>
      <c r="V26" s="46">
        <f t="shared" si="4"/>
        <v>0</v>
      </c>
      <c r="W26" s="46">
        <f t="shared" si="5"/>
        <v>0</v>
      </c>
      <c r="X26" s="46">
        <f t="shared" si="18"/>
        <v>0</v>
      </c>
      <c r="Y26" s="47">
        <f t="shared" si="19"/>
        <v>0</v>
      </c>
      <c r="Z26" s="137"/>
      <c r="AA26" s="34">
        <f t="shared" si="20"/>
        <v>0</v>
      </c>
      <c r="AB26" s="48" t="str">
        <f t="shared" si="6"/>
        <v>  Çocuklu</v>
      </c>
      <c r="AC26" s="34">
        <f t="shared" si="21"/>
        <v>0</v>
      </c>
      <c r="AD26" s="28">
        <f t="shared" si="22"/>
        <v>0</v>
      </c>
      <c r="AE26" s="49">
        <f t="shared" si="23"/>
        <v>0</v>
      </c>
      <c r="AF26" s="50">
        <f t="shared" si="24"/>
        <v>0</v>
      </c>
      <c r="AG26" s="51">
        <f t="shared" si="7"/>
        <v>0</v>
      </c>
      <c r="AH26" s="51"/>
      <c r="AI26" s="51"/>
      <c r="AJ26" s="51"/>
      <c r="AK26" s="51"/>
      <c r="AL26" s="51"/>
      <c r="AM26" s="51"/>
      <c r="AN26" s="51"/>
      <c r="AO26" s="51"/>
      <c r="AP26" s="51"/>
      <c r="AQ26" s="51"/>
      <c r="AR26" s="51"/>
      <c r="AS26" s="51"/>
      <c r="AT26" s="52">
        <f t="shared" si="25"/>
        <v>0</v>
      </c>
    </row>
    <row r="27" spans="27:46" ht="30" customHeight="1" thickBot="1">
      <c r="AA27" s="512" t="s">
        <v>33</v>
      </c>
      <c r="AB27" s="513"/>
      <c r="AC27" s="513"/>
      <c r="AD27" s="514"/>
      <c r="AE27" s="53"/>
      <c r="AF27" s="53">
        <f>SUM(AF8:AF26)</f>
        <v>226.63</v>
      </c>
      <c r="AG27" s="53">
        <f>SUM(AG8:AG26)</f>
        <v>163.15</v>
      </c>
      <c r="AH27" s="53">
        <f aca="true" t="shared" si="26" ref="AH27:AT27">SUM(AH8:AH26)</f>
        <v>0</v>
      </c>
      <c r="AI27" s="53">
        <f t="shared" si="26"/>
        <v>0</v>
      </c>
      <c r="AJ27" s="53">
        <f t="shared" si="26"/>
        <v>0</v>
      </c>
      <c r="AK27" s="53">
        <f t="shared" si="26"/>
        <v>0</v>
      </c>
      <c r="AL27" s="53">
        <f t="shared" si="26"/>
        <v>0</v>
      </c>
      <c r="AM27" s="53">
        <f t="shared" si="26"/>
        <v>0</v>
      </c>
      <c r="AN27" s="53">
        <f t="shared" si="26"/>
        <v>0</v>
      </c>
      <c r="AO27" s="53">
        <f t="shared" si="26"/>
        <v>0</v>
      </c>
      <c r="AP27" s="53">
        <f t="shared" si="26"/>
        <v>0</v>
      </c>
      <c r="AQ27" s="53">
        <f t="shared" si="26"/>
        <v>0</v>
      </c>
      <c r="AR27" s="53">
        <f t="shared" si="26"/>
        <v>0</v>
      </c>
      <c r="AS27" s="53">
        <f t="shared" si="26"/>
        <v>0</v>
      </c>
      <c r="AT27" s="53">
        <f t="shared" si="26"/>
        <v>163.15</v>
      </c>
    </row>
    <row r="28" spans="27:46" ht="22.5">
      <c r="AA28" s="54" t="s">
        <v>83</v>
      </c>
      <c r="AB28" s="54"/>
      <c r="AC28" s="515" t="s">
        <v>84</v>
      </c>
      <c r="AD28" s="515"/>
      <c r="AE28" s="515"/>
      <c r="AF28" s="515"/>
      <c r="AG28" s="515"/>
      <c r="AH28" s="515"/>
      <c r="AI28" s="515"/>
      <c r="AJ28" s="515"/>
      <c r="AK28" s="515"/>
      <c r="AL28" s="515"/>
      <c r="AM28" s="515"/>
      <c r="AN28" s="515"/>
      <c r="AO28" s="54"/>
      <c r="AP28" s="54"/>
      <c r="AQ28" s="515"/>
      <c r="AR28" s="515"/>
      <c r="AS28" s="54"/>
      <c r="AT28" s="21"/>
    </row>
    <row r="29" spans="27:46" ht="12.75">
      <c r="AA29" s="510"/>
      <c r="AB29" s="510"/>
      <c r="AC29" s="510"/>
      <c r="AD29" s="510"/>
      <c r="AE29" s="510"/>
      <c r="AF29" s="510"/>
      <c r="AG29" s="510"/>
      <c r="AH29" s="510"/>
      <c r="AI29" s="510"/>
      <c r="AJ29" s="510"/>
      <c r="AK29" s="510"/>
      <c r="AL29" s="510"/>
      <c r="AM29" s="510"/>
      <c r="AN29" s="510"/>
      <c r="AO29" s="510"/>
      <c r="AP29" s="510"/>
      <c r="AQ29" s="510"/>
      <c r="AR29" s="510"/>
      <c r="AS29" s="510"/>
      <c r="AT29" s="21"/>
    </row>
    <row r="30" spans="27:46" ht="12.75">
      <c r="AA30" s="54" t="s">
        <v>85</v>
      </c>
      <c r="AB30" s="54"/>
      <c r="AC30" s="510" t="s">
        <v>86</v>
      </c>
      <c r="AD30" s="510"/>
      <c r="AE30" s="510"/>
      <c r="AF30" s="510"/>
      <c r="AG30" s="510"/>
      <c r="AH30" s="510"/>
      <c r="AI30" s="510"/>
      <c r="AJ30" s="510"/>
      <c r="AK30" s="510"/>
      <c r="AL30" s="510"/>
      <c r="AM30" s="510"/>
      <c r="AN30" s="510"/>
      <c r="AO30" s="510"/>
      <c r="AP30" s="510"/>
      <c r="AQ30" s="510"/>
      <c r="AR30" s="510"/>
      <c r="AS30" s="510"/>
      <c r="AT30" s="21"/>
    </row>
    <row r="31" spans="27:46" ht="12.75">
      <c r="AA31" s="55" t="s">
        <v>87</v>
      </c>
      <c r="AB31" s="55"/>
      <c r="AC31" s="511" t="s">
        <v>88</v>
      </c>
      <c r="AD31" s="511"/>
      <c r="AE31" s="511"/>
      <c r="AF31" s="511"/>
      <c r="AG31" s="511"/>
      <c r="AH31" s="511"/>
      <c r="AI31" s="511"/>
      <c r="AJ31" s="511"/>
      <c r="AK31" s="511"/>
      <c r="AL31" s="511"/>
      <c r="AM31" s="511"/>
      <c r="AN31" s="511"/>
      <c r="AO31" s="511"/>
      <c r="AP31" s="511"/>
      <c r="AQ31" s="511"/>
      <c r="AR31" s="511"/>
      <c r="AS31" s="511"/>
      <c r="AT31" s="56"/>
    </row>
    <row r="32" spans="27:46" ht="12.75">
      <c r="AA32" s="55" t="s">
        <v>89</v>
      </c>
      <c r="AB32" s="55"/>
      <c r="AC32" s="511" t="s">
        <v>90</v>
      </c>
      <c r="AD32" s="511"/>
      <c r="AE32" s="511"/>
      <c r="AF32" s="511"/>
      <c r="AG32" s="511"/>
      <c r="AH32" s="511"/>
      <c r="AI32" s="511"/>
      <c r="AJ32" s="511"/>
      <c r="AK32" s="511"/>
      <c r="AL32" s="511"/>
      <c r="AM32" s="511"/>
      <c r="AN32" s="511"/>
      <c r="AO32" s="511"/>
      <c r="AP32" s="511"/>
      <c r="AQ32" s="511"/>
      <c r="AR32" s="511"/>
      <c r="AS32" s="511"/>
      <c r="AT32" s="57"/>
    </row>
    <row r="33" spans="27:46" ht="12.75">
      <c r="AA33" s="55" t="s">
        <v>148</v>
      </c>
      <c r="AB33" s="55"/>
      <c r="AC33" s="511" t="s">
        <v>18</v>
      </c>
      <c r="AD33" s="511"/>
      <c r="AE33" s="511"/>
      <c r="AF33" s="511"/>
      <c r="AG33" s="511"/>
      <c r="AH33" s="511"/>
      <c r="AI33" s="511"/>
      <c r="AJ33" s="511"/>
      <c r="AK33" s="511"/>
      <c r="AL33" s="511"/>
      <c r="AM33" s="511"/>
      <c r="AN33" s="511"/>
      <c r="AO33" s="511"/>
      <c r="AP33" s="511"/>
      <c r="AQ33" s="511"/>
      <c r="AR33" s="511"/>
      <c r="AS33" s="511"/>
      <c r="AT33" s="21"/>
    </row>
    <row r="34" spans="27:46" ht="12.75">
      <c r="AA34" s="54" t="s">
        <v>19</v>
      </c>
      <c r="AB34" s="54"/>
      <c r="AC34" s="510" t="s">
        <v>20</v>
      </c>
      <c r="AD34" s="510"/>
      <c r="AE34" s="510"/>
      <c r="AF34" s="510"/>
      <c r="AG34" s="510"/>
      <c r="AH34" s="510"/>
      <c r="AI34" s="510"/>
      <c r="AJ34" s="510"/>
      <c r="AK34" s="510"/>
      <c r="AL34" s="510"/>
      <c r="AM34" s="510"/>
      <c r="AN34" s="510"/>
      <c r="AO34" s="510"/>
      <c r="AP34" s="510"/>
      <c r="AQ34" s="510"/>
      <c r="AR34" s="510"/>
      <c r="AS34" s="510"/>
      <c r="AT34" s="21"/>
    </row>
    <row r="35" spans="27:46" ht="15.75">
      <c r="AA35" s="21"/>
      <c r="AB35" s="21"/>
      <c r="AC35" s="21"/>
      <c r="AD35" s="21"/>
      <c r="AE35" s="21"/>
      <c r="AF35" s="21"/>
      <c r="AG35" s="21"/>
      <c r="AH35" s="21"/>
      <c r="AI35" s="21"/>
      <c r="AJ35" s="21"/>
      <c r="AK35" s="21"/>
      <c r="AL35" s="21"/>
      <c r="AM35" s="21"/>
      <c r="AN35" s="21"/>
      <c r="AO35" s="21"/>
      <c r="AP35" s="21"/>
      <c r="AQ35" s="21"/>
      <c r="AR35" s="21"/>
      <c r="AS35" s="21"/>
      <c r="AT35" s="58"/>
    </row>
  </sheetData>
  <sheetProtection password="C620" sheet="1"/>
  <mergeCells count="19">
    <mergeCell ref="AA27:AD27"/>
    <mergeCell ref="AC28:AN28"/>
    <mergeCell ref="AQ28:AR28"/>
    <mergeCell ref="I1:J1"/>
    <mergeCell ref="AA3:AQ3"/>
    <mergeCell ref="AR3:AS3"/>
    <mergeCell ref="AA4:AF4"/>
    <mergeCell ref="AG4:AJ4"/>
    <mergeCell ref="AM4:AN4"/>
    <mergeCell ref="AT4:AT6"/>
    <mergeCell ref="AG5:AS6"/>
    <mergeCell ref="I6:Q6"/>
    <mergeCell ref="AA6:AA7"/>
    <mergeCell ref="AA29:AS29"/>
    <mergeCell ref="AC34:AS34"/>
    <mergeCell ref="AC30:AS30"/>
    <mergeCell ref="AC31:AS31"/>
    <mergeCell ref="AC32:AS32"/>
    <mergeCell ref="AC33:AS33"/>
  </mergeCells>
  <hyperlinks>
    <hyperlink ref="Z2" location="'Bilgi Girişi'!A1" display="'Bilgi Girişi'!A1"/>
    <hyperlink ref="Z3" location="'Tek Kişilik'!A1" display="'Tek Kişilik'!A1"/>
  </hyperlinks>
  <printOptions/>
  <pageMargins left="0.27" right="0.75" top="0.46" bottom="1" header="0.19" footer="0.5"/>
  <pageSetup horizontalDpi="600" verticalDpi="600" orientation="landscape" paperSize="9" scale="5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DATATEKNİK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dc:creator>
  <cp:keywords/>
  <dc:description/>
  <cp:lastModifiedBy>misbilir</cp:lastModifiedBy>
  <cp:lastPrinted>2017-09-19T08:21:44Z</cp:lastPrinted>
  <dcterms:created xsi:type="dcterms:W3CDTF">2002-07-02T14:39:45Z</dcterms:created>
  <dcterms:modified xsi:type="dcterms:W3CDTF">2020-09-22T11:57:41Z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